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836" activeTab="0"/>
  </bookViews>
  <sheets>
    <sheet name="Sheet1" sheetId="1" r:id="rId1"/>
  </sheets>
  <definedNames>
    <definedName name="_xlnm.Print_Area" localSheetId="0">'Sheet1'!$A$1:$S$78</definedName>
  </definedNames>
  <calcPr fullCalcOnLoad="1"/>
</workbook>
</file>

<file path=xl/sharedStrings.xml><?xml version="1.0" encoding="utf-8"?>
<sst xmlns="http://schemas.openxmlformats.org/spreadsheetml/2006/main" count="331" uniqueCount="105">
  <si>
    <t>หมายเหตุ</t>
  </si>
  <si>
    <t>-</t>
  </si>
  <si>
    <t>ลำดับ</t>
  </si>
  <si>
    <t>ชื่อสายงาน</t>
  </si>
  <si>
    <t>จำนวน</t>
  </si>
  <si>
    <t>ทั้งหมด</t>
  </si>
  <si>
    <t>เจ้าพนักงานจัดเก็บรายได้</t>
  </si>
  <si>
    <t>6</t>
  </si>
  <si>
    <t>3</t>
  </si>
  <si>
    <t>1</t>
  </si>
  <si>
    <t xml:space="preserve"> -</t>
  </si>
  <si>
    <t>4</t>
  </si>
  <si>
    <t xml:space="preserve"> </t>
  </si>
  <si>
    <t>อัตราตำแหน่งที่คาดว่า</t>
  </si>
  <si>
    <t>จะต้องใช้ในช่วง</t>
  </si>
  <si>
    <t>ระยะเวลา 3 ปีข้างหน้า</t>
  </si>
  <si>
    <t>เพิ่ม / ลด</t>
  </si>
  <si>
    <t>อัตรากำลังคน</t>
  </si>
  <si>
    <t>จำนวนที่มีอยู่ปัจจุบัน</t>
  </si>
  <si>
    <t>บุคลากร</t>
  </si>
  <si>
    <t>พนักงานจ้างตามภารกิจ</t>
  </si>
  <si>
    <t>พนักงานจ้างทั่วไป</t>
  </si>
  <si>
    <t>ตำแหน่ง</t>
  </si>
  <si>
    <t>2558</t>
  </si>
  <si>
    <t>2559</t>
  </si>
  <si>
    <t>2560</t>
  </si>
  <si>
    <t>(4)</t>
  </si>
  <si>
    <t>(5)</t>
  </si>
  <si>
    <t>(6)</t>
  </si>
  <si>
    <t>9. ภาระค่าใช้จ่ายเกี่ยวกับเงินเดือนและประโยชน์ตอบแทนอื่น</t>
  </si>
  <si>
    <t>ระดับ</t>
  </si>
  <si>
    <t>จำนวน (คน)</t>
  </si>
  <si>
    <t xml:space="preserve">           รวม               </t>
  </si>
  <si>
    <t>ประมาณการประโยชน์ตอบแทนอื่น  20%</t>
  </si>
  <si>
    <t>(7)</t>
  </si>
  <si>
    <t>รวมเป็นค่าใช้จ่ายบุคคลทั้งสิ้น</t>
  </si>
  <si>
    <t>คิดร้อยละ 40 ของงบประมาณรายจ่ายประจำปี</t>
  </si>
  <si>
    <t xml:space="preserve">บาท </t>
  </si>
  <si>
    <t>สำนักปลัด อบต.</t>
  </si>
  <si>
    <t>ผช.จนท.ธุรการ</t>
  </si>
  <si>
    <r>
      <t xml:space="preserve">ภาระค่าใช้จ่ายที่เพิ่มขึ้น  </t>
    </r>
    <r>
      <rPr>
        <b/>
        <sz val="14"/>
        <rFont val="TH Niramit AS"/>
        <family val="0"/>
      </rPr>
      <t>(2)</t>
    </r>
  </si>
  <si>
    <r>
      <t xml:space="preserve">ค่าใช้จ่ายรวม   </t>
    </r>
    <r>
      <rPr>
        <b/>
        <sz val="14"/>
        <rFont val="TH Niramit AS"/>
        <family val="0"/>
      </rPr>
      <t>(3)</t>
    </r>
  </si>
  <si>
    <r>
      <t xml:space="preserve">เงินเดือน  </t>
    </r>
    <r>
      <rPr>
        <b/>
        <sz val="14"/>
        <rFont val="TH Niramit AS"/>
        <family val="0"/>
      </rPr>
      <t>(1)</t>
    </r>
  </si>
  <si>
    <t>3-5/6ว</t>
  </si>
  <si>
    <t>2-4/5</t>
  </si>
  <si>
    <t>พนักงานผลิตน้ำประปา</t>
  </si>
  <si>
    <t>ผช.จนท.วิเคราะห์ฯ</t>
  </si>
  <si>
    <t>ส่วนการศึกษาฯ</t>
  </si>
  <si>
    <t>เจ้าพนักงานพัสดุ</t>
  </si>
  <si>
    <t xml:space="preserve">  งบประมาณรายจ่ายประจำปี 2558 เป็นเงิน =</t>
  </si>
  <si>
    <t xml:space="preserve"> งบประมาณรายจ่ายประจำปี 2559 เป็นเงิน =</t>
  </si>
  <si>
    <t xml:space="preserve"> งบประมาณรายจ่ายประจำปี 2560 เป็นเงิน  =</t>
  </si>
  <si>
    <t>ผช.ช่างไฟฟ้า</t>
  </si>
  <si>
    <t>-24-</t>
  </si>
  <si>
    <t>นายช่างโยธา</t>
  </si>
  <si>
    <t>งบประมาณรายจ่ายประจำปี</t>
  </si>
  <si>
    <t>(8)</t>
  </si>
  <si>
    <t>5</t>
  </si>
  <si>
    <t>เจ้าพนักงานธุรการ</t>
  </si>
  <si>
    <t>เจ้าพนักงานป้องกันฯ</t>
  </si>
  <si>
    <t>คนงาน</t>
  </si>
  <si>
    <t>คนงานประจำรถขยะ</t>
  </si>
  <si>
    <t>ป.ตรี</t>
  </si>
  <si>
    <t>ปวช.</t>
  </si>
  <si>
    <t>ทักษะ 5 ปี</t>
  </si>
  <si>
    <t>พนักงานขับรถขยะ</t>
  </si>
  <si>
    <t>แรงงาน</t>
  </si>
  <si>
    <t>ผช.นักวิชาการเงินและบัญชี</t>
  </si>
  <si>
    <t>ผช.จนท.จัดเก็บรายได้</t>
  </si>
  <si>
    <t>นักวิชาการเงินและบัญชี</t>
  </si>
  <si>
    <t>นักบริหารงานทั่วไป (หน.สป.)</t>
  </si>
  <si>
    <t>ปลัด อบต.(นักบริหารงาน อบต.)</t>
  </si>
  <si>
    <t>7</t>
  </si>
  <si>
    <t>นักบริหารงานคลัง (ผอ.กองคลัง)</t>
  </si>
  <si>
    <t>นักบริหารงานช่าง (ผอ.กองช่าง)</t>
  </si>
  <si>
    <t>นักพัฒนาชุมชน</t>
  </si>
  <si>
    <t>6ว</t>
  </si>
  <si>
    <t>ผช.นักพัฒนาชุมชน</t>
  </si>
  <si>
    <t>ส่วนสวัสดิการสังคม</t>
  </si>
  <si>
    <t>ครูผู้ดูแลเด็ก</t>
  </si>
  <si>
    <t>นักวิชาการศึกษา</t>
  </si>
  <si>
    <t>นักบริหารงานสวัสดิการฯ(หน.ส่วนสวัสดิการฯ)</t>
  </si>
  <si>
    <t>นักบริหารการศึกษา(หน.ส่วนการศึกษา)</t>
  </si>
  <si>
    <t>+1</t>
  </si>
  <si>
    <t>ว่างยุบเลิก</t>
  </si>
  <si>
    <t>กองคลัง</t>
  </si>
  <si>
    <t>กองช่าง</t>
  </si>
  <si>
    <t>ตามข้อบัญญัติ งบประมาณรายจ่ายประจำปี 2558  ทั้งนี้ ให้หักเงินอุดหนุนทั่วไปที่จัดสรร</t>
  </si>
  <si>
    <t>เป็นเงินเดือนข้าราชการ/พนักงานครู ออกจากฐานงบประมาณรายจ่ายก่อน</t>
  </si>
  <si>
    <r>
      <t>ประมาณการเพิ่มขึ้นร้อยละ 5 ของงบประมาณรายจ่ายประจำปี2558</t>
    </r>
    <r>
      <rPr>
        <sz val="12"/>
        <rFont val="TH Niramit AS"/>
        <family val="0"/>
      </rPr>
      <t>(19,500,000x5%+19,500,000=20,475,000)</t>
    </r>
  </si>
  <si>
    <r>
      <t>ประมาณการเพิ่มขึ้นร้อยละ 5 ของงบประมาณรายจ่ายประจำปี 2559</t>
    </r>
    <r>
      <rPr>
        <sz val="12"/>
        <rFont val="TH Niramit AS"/>
        <family val="0"/>
      </rPr>
      <t xml:space="preserve"> (20,475,000x5%+20,475,000=21,498,750)</t>
    </r>
  </si>
  <si>
    <t>พนักงานขับรถยนต์</t>
  </si>
  <si>
    <t>กำหนดเพิ่ม</t>
  </si>
  <si>
    <t>คศ.1</t>
  </si>
  <si>
    <t>เงินอุดหนุน</t>
  </si>
  <si>
    <t>ศูนย์พัฒนาเด็กเล็ก อบต.</t>
  </si>
  <si>
    <t>ครู</t>
  </si>
  <si>
    <t>ผช.ครูผู้ดูแลเด็ก (ทักษะ)</t>
  </si>
  <si>
    <t>พนักงานจ้าง</t>
  </si>
  <si>
    <t>ศูนย์พัฒนาเด็กเล็กบ้านฝาย</t>
  </si>
  <si>
    <t>ครูผู้ช่วย</t>
  </si>
  <si>
    <t>เจ้าหน้าที่วิเคราะห์นโยบายฯ</t>
  </si>
  <si>
    <t>-25-</t>
  </si>
  <si>
    <t>-26-</t>
  </si>
  <si>
    <t>+4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</si>
</sst>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_ ;\-#,##0\ "/>
    <numFmt numFmtId="203" formatCode="t#,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color indexed="10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0"/>
      <name val="TH Niramit AS"/>
      <family val="0"/>
    </font>
    <font>
      <b/>
      <u val="single"/>
      <sz val="14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sz val="16"/>
      <name val="TH Niramit AS"/>
      <family val="0"/>
    </font>
    <font>
      <sz val="18"/>
      <name val="TH Niramit AS"/>
      <family val="0"/>
    </font>
    <font>
      <b/>
      <sz val="14"/>
      <color indexed="56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Niramit AS"/>
      <family val="0"/>
    </font>
    <font>
      <b/>
      <sz val="14"/>
      <color rgb="FF002060"/>
      <name val="TH Niramit AS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FF9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>
        <color theme="1" tint="0.2499800026416778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>
        <color theme="1" tint="0.24998000264167786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1" applyNumberFormat="0" applyAlignment="0" applyProtection="0"/>
    <xf numFmtId="0" fontId="39" fillId="34" borderId="2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6" borderId="1" applyNumberFormat="0" applyAlignment="0" applyProtection="0"/>
    <xf numFmtId="0" fontId="46" fillId="37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8" borderId="6" applyNumberFormat="0" applyFont="0" applyAlignment="0" applyProtection="0"/>
    <xf numFmtId="0" fontId="47" fillId="33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" fillId="39" borderId="9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0" borderId="10" applyNumberFormat="0" applyAlignment="0" applyProtection="0"/>
    <xf numFmtId="0" fontId="11" fillId="0" borderId="11" applyNumberFormat="0" applyFill="0" applyAlignment="0" applyProtection="0"/>
    <xf numFmtId="0" fontId="12" fillId="4" borderId="0" applyNumberFormat="0" applyBorder="0" applyAlignment="0" applyProtection="0"/>
    <xf numFmtId="0" fontId="13" fillId="9" borderId="9" applyNumberFormat="0" applyAlignment="0" applyProtection="0"/>
    <xf numFmtId="0" fontId="14" fillId="4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12" applyNumberFormat="0" applyFill="0" applyAlignment="0" applyProtection="0"/>
    <xf numFmtId="0" fontId="16" fillId="3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45" borderId="0" applyNumberFormat="0" applyBorder="0" applyAlignment="0" applyProtection="0"/>
    <xf numFmtId="0" fontId="17" fillId="39" borderId="13" applyNumberFormat="0" applyAlignment="0" applyProtection="0"/>
    <xf numFmtId="0" fontId="4" fillId="46" borderId="14" applyNumberFormat="0" applyFont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7" fillId="0" borderId="18" xfId="0" applyFont="1" applyBorder="1" applyAlignment="1">
      <alignment horizontal="left" shrinkToFit="1"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0" xfId="82" applyNumberFormat="1" applyFont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2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26" fillId="0" borderId="19" xfId="0" applyFont="1" applyBorder="1" applyAlignment="1">
      <alignment horizontal="center" shrinkToFit="1"/>
    </xf>
    <xf numFmtId="0" fontId="26" fillId="0" borderId="19" xfId="0" applyFont="1" applyBorder="1" applyAlignment="1">
      <alignment horizontal="left" shrinkToFit="1"/>
    </xf>
    <xf numFmtId="49" fontId="26" fillId="0" borderId="19" xfId="0" applyNumberFormat="1" applyFont="1" applyBorder="1" applyAlignment="1">
      <alignment horizontal="center" shrinkToFit="1"/>
    </xf>
    <xf numFmtId="3" fontId="26" fillId="0" borderId="19" xfId="0" applyNumberFormat="1" applyFont="1" applyBorder="1" applyAlignment="1">
      <alignment horizontal="center" shrinkToFit="1"/>
    </xf>
    <xf numFmtId="196" fontId="26" fillId="0" borderId="19" xfId="82" applyNumberFormat="1" applyFont="1" applyBorder="1" applyAlignment="1">
      <alignment horizontal="center" shrinkToFit="1"/>
    </xf>
    <xf numFmtId="0" fontId="26" fillId="0" borderId="19" xfId="0" applyFont="1" applyBorder="1" applyAlignment="1">
      <alignment shrinkToFit="1"/>
    </xf>
    <xf numFmtId="0" fontId="27" fillId="0" borderId="19" xfId="0" applyFont="1" applyBorder="1" applyAlignment="1">
      <alignment horizontal="left" shrinkToFit="1"/>
    </xf>
    <xf numFmtId="196" fontId="26" fillId="0" borderId="20" xfId="82" applyNumberFormat="1" applyFont="1" applyBorder="1" applyAlignment="1">
      <alignment horizontal="center" shrinkToFit="1"/>
    </xf>
    <xf numFmtId="0" fontId="26" fillId="0" borderId="21" xfId="0" applyFont="1" applyBorder="1" applyAlignment="1">
      <alignment horizontal="center" shrinkToFit="1"/>
    </xf>
    <xf numFmtId="0" fontId="26" fillId="0" borderId="21" xfId="0" applyFont="1" applyBorder="1" applyAlignment="1">
      <alignment horizontal="left" shrinkToFit="1"/>
    </xf>
    <xf numFmtId="49" fontId="26" fillId="0" borderId="21" xfId="0" applyNumberFormat="1" applyFont="1" applyBorder="1" applyAlignment="1">
      <alignment horizontal="center" shrinkToFit="1"/>
    </xf>
    <xf numFmtId="3" fontId="26" fillId="0" borderId="21" xfId="0" applyNumberFormat="1" applyFont="1" applyBorder="1" applyAlignment="1">
      <alignment horizontal="center" shrinkToFit="1"/>
    </xf>
    <xf numFmtId="196" fontId="26" fillId="0" borderId="21" xfId="82" applyNumberFormat="1" applyFont="1" applyBorder="1" applyAlignment="1">
      <alignment horizontal="center" shrinkToFit="1"/>
    </xf>
    <xf numFmtId="0" fontId="26" fillId="0" borderId="21" xfId="0" applyFont="1" applyBorder="1" applyAlignment="1">
      <alignment shrinkToFit="1"/>
    </xf>
    <xf numFmtId="0" fontId="27" fillId="0" borderId="22" xfId="0" applyFont="1" applyBorder="1" applyAlignment="1" quotePrefix="1">
      <alignment horizontal="center" shrinkToFit="1"/>
    </xf>
    <xf numFmtId="3" fontId="27" fillId="0" borderId="22" xfId="0" applyNumberFormat="1" applyFont="1" applyBorder="1" applyAlignment="1">
      <alignment horizontal="center" shrinkToFit="1"/>
    </xf>
    <xf numFmtId="3" fontId="27" fillId="0" borderId="22" xfId="82" applyNumberFormat="1" applyFont="1" applyBorder="1" applyAlignment="1">
      <alignment horizontal="center" shrinkToFit="1"/>
    </xf>
    <xf numFmtId="0" fontId="26" fillId="0" borderId="22" xfId="0" applyFont="1" applyBorder="1" applyAlignment="1">
      <alignment/>
    </xf>
    <xf numFmtId="3" fontId="26" fillId="0" borderId="0" xfId="82" applyNumberFormat="1" applyFont="1" applyBorder="1" applyAlignment="1">
      <alignment horizontal="center"/>
    </xf>
    <xf numFmtId="0" fontId="26" fillId="0" borderId="23" xfId="0" applyFont="1" applyBorder="1" applyAlignment="1">
      <alignment horizontal="center" shrinkToFit="1"/>
    </xf>
    <xf numFmtId="0" fontId="26" fillId="0" borderId="23" xfId="0" applyFont="1" applyBorder="1" applyAlignment="1">
      <alignment horizontal="left" shrinkToFit="1"/>
    </xf>
    <xf numFmtId="49" fontId="26" fillId="0" borderId="23" xfId="0" applyNumberFormat="1" applyFont="1" applyBorder="1" applyAlignment="1">
      <alignment horizontal="center" shrinkToFit="1"/>
    </xf>
    <xf numFmtId="3" fontId="26" fillId="0" borderId="23" xfId="0" applyNumberFormat="1" applyFont="1" applyBorder="1" applyAlignment="1">
      <alignment horizontal="center" shrinkToFit="1"/>
    </xf>
    <xf numFmtId="196" fontId="26" fillId="0" borderId="23" xfId="82" applyNumberFormat="1" applyFont="1" applyBorder="1" applyAlignment="1">
      <alignment horizontal="center" shrinkToFit="1"/>
    </xf>
    <xf numFmtId="0" fontId="26" fillId="0" borderId="23" xfId="0" applyFont="1" applyBorder="1" applyAlignment="1">
      <alignment shrinkToFit="1"/>
    </xf>
    <xf numFmtId="0" fontId="26" fillId="0" borderId="24" xfId="0" applyFont="1" applyBorder="1" applyAlignment="1">
      <alignment horizontal="center" shrinkToFit="1"/>
    </xf>
    <xf numFmtId="49" fontId="26" fillId="0" borderId="24" xfId="0" applyNumberFormat="1" applyFont="1" applyBorder="1" applyAlignment="1">
      <alignment horizontal="center" shrinkToFit="1"/>
    </xf>
    <xf numFmtId="196" fontId="26" fillId="0" borderId="24" xfId="82" applyNumberFormat="1" applyFont="1" applyBorder="1" applyAlignment="1">
      <alignment horizontal="center" shrinkToFit="1"/>
    </xf>
    <xf numFmtId="0" fontId="26" fillId="0" borderId="24" xfId="0" applyFont="1" applyBorder="1" applyAlignment="1">
      <alignment shrinkToFit="1"/>
    </xf>
    <xf numFmtId="0" fontId="26" fillId="0" borderId="25" xfId="0" applyFont="1" applyBorder="1" applyAlignment="1">
      <alignment horizontal="center" shrinkToFit="1"/>
    </xf>
    <xf numFmtId="196" fontId="26" fillId="0" borderId="26" xfId="82" applyNumberFormat="1" applyFont="1" applyBorder="1" applyAlignment="1">
      <alignment horizontal="center" shrinkToFit="1"/>
    </xf>
    <xf numFmtId="196" fontId="26" fillId="0" borderId="27" xfId="82" applyNumberFormat="1" applyFont="1" applyBorder="1" applyAlignment="1">
      <alignment horizontal="center" shrinkToFit="1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196" fontId="26" fillId="0" borderId="19" xfId="82" applyNumberFormat="1" applyFont="1" applyBorder="1" applyAlignment="1">
      <alignment horizontal="center" vertical="center" shrinkToFit="1"/>
    </xf>
    <xf numFmtId="3" fontId="26" fillId="0" borderId="24" xfId="0" applyNumberFormat="1" applyFont="1" applyBorder="1" applyAlignment="1">
      <alignment horizontal="center" shrinkToFit="1"/>
    </xf>
    <xf numFmtId="0" fontId="22" fillId="0" borderId="28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22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49" fontId="26" fillId="0" borderId="0" xfId="0" applyNumberFormat="1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196" fontId="26" fillId="0" borderId="0" xfId="82" applyNumberFormat="1" applyFont="1" applyBorder="1" applyAlignment="1">
      <alignment horizontal="center" shrinkToFit="1"/>
    </xf>
    <xf numFmtId="3" fontId="25" fillId="0" borderId="0" xfId="82" applyNumberFormat="1" applyFont="1" applyBorder="1" applyAlignment="1">
      <alignment horizontal="center" shrinkToFit="1"/>
    </xf>
    <xf numFmtId="3" fontId="26" fillId="0" borderId="0" xfId="0" applyNumberFormat="1" applyFont="1" applyBorder="1" applyAlignment="1">
      <alignment horizontal="center" shrinkToFit="1"/>
    </xf>
    <xf numFmtId="0" fontId="26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32" fillId="0" borderId="19" xfId="0" applyFont="1" applyBorder="1" applyAlignment="1">
      <alignment horizontal="left" shrinkToFit="1"/>
    </xf>
    <xf numFmtId="0" fontId="26" fillId="0" borderId="19" xfId="0" applyFont="1" applyBorder="1" applyAlignment="1">
      <alignment horizontal="center" vertical="top" shrinkToFit="1"/>
    </xf>
    <xf numFmtId="0" fontId="26" fillId="0" borderId="19" xfId="0" applyFont="1" applyBorder="1" applyAlignment="1">
      <alignment horizontal="left" vertical="top" wrapText="1" shrinkToFit="1"/>
    </xf>
    <xf numFmtId="49" fontId="26" fillId="0" borderId="19" xfId="0" applyNumberFormat="1" applyFont="1" applyBorder="1" applyAlignment="1">
      <alignment horizontal="center" vertical="top" shrinkToFit="1"/>
    </xf>
    <xf numFmtId="3" fontId="26" fillId="0" borderId="19" xfId="0" applyNumberFormat="1" applyFont="1" applyBorder="1" applyAlignment="1">
      <alignment horizontal="center" vertical="top" shrinkToFit="1"/>
    </xf>
    <xf numFmtId="0" fontId="26" fillId="0" borderId="19" xfId="0" applyFont="1" applyBorder="1" applyAlignment="1">
      <alignment vertical="top" shrinkToFit="1"/>
    </xf>
    <xf numFmtId="0" fontId="33" fillId="0" borderId="19" xfId="0" applyFont="1" applyBorder="1" applyAlignment="1">
      <alignment horizontal="left" vertical="center" shrinkToFit="1"/>
    </xf>
    <xf numFmtId="3" fontId="26" fillId="0" borderId="19" xfId="0" applyNumberFormat="1" applyFont="1" applyBorder="1" applyAlignment="1" quotePrefix="1">
      <alignment horizontal="center" shrinkToFit="1"/>
    </xf>
    <xf numFmtId="0" fontId="27" fillId="0" borderId="24" xfId="0" applyFont="1" applyBorder="1" applyAlignment="1">
      <alignment horizontal="left" shrinkToFit="1"/>
    </xf>
    <xf numFmtId="196" fontId="26" fillId="0" borderId="29" xfId="82" applyNumberFormat="1" applyFont="1" applyBorder="1" applyAlignment="1">
      <alignment horizontal="center" shrinkToFit="1"/>
    </xf>
    <xf numFmtId="3" fontId="26" fillId="0" borderId="19" xfId="82" applyNumberFormat="1" applyFont="1" applyBorder="1" applyAlignment="1">
      <alignment horizontal="center" shrinkToFit="1"/>
    </xf>
    <xf numFmtId="3" fontId="26" fillId="0" borderId="24" xfId="82" applyNumberFormat="1" applyFont="1" applyBorder="1" applyAlignment="1">
      <alignment horizontal="center" shrinkToFit="1"/>
    </xf>
    <xf numFmtId="3" fontId="26" fillId="0" borderId="23" xfId="82" applyNumberFormat="1" applyFont="1" applyBorder="1" applyAlignment="1">
      <alignment horizontal="center" shrinkToFit="1"/>
    </xf>
    <xf numFmtId="3" fontId="26" fillId="0" borderId="21" xfId="82" applyNumberFormat="1" applyFont="1" applyBorder="1" applyAlignment="1">
      <alignment horizontal="center" shrinkToFit="1"/>
    </xf>
    <xf numFmtId="3" fontId="26" fillId="0" borderId="21" xfId="82" applyNumberFormat="1" applyFont="1" applyBorder="1" applyAlignment="1" quotePrefix="1">
      <alignment horizontal="center" shrinkToFit="1"/>
    </xf>
    <xf numFmtId="196" fontId="26" fillId="0" borderId="30" xfId="82" applyNumberFormat="1" applyFont="1" applyBorder="1" applyAlignment="1">
      <alignment horizontal="center" shrinkToFit="1"/>
    </xf>
    <xf numFmtId="196" fontId="26" fillId="0" borderId="31" xfId="82" applyNumberFormat="1" applyFont="1" applyBorder="1" applyAlignment="1">
      <alignment horizontal="center" shrinkToFit="1"/>
    </xf>
    <xf numFmtId="0" fontId="26" fillId="47" borderId="31" xfId="0" applyFont="1" applyFill="1" applyBorder="1" applyAlignment="1">
      <alignment horizontal="center" vertical="center" shrinkToFit="1"/>
    </xf>
    <xf numFmtId="0" fontId="27" fillId="47" borderId="31" xfId="0" applyFont="1" applyFill="1" applyBorder="1" applyAlignment="1">
      <alignment horizontal="center" vertical="center" shrinkToFit="1"/>
    </xf>
    <xf numFmtId="49" fontId="26" fillId="47" borderId="31" xfId="0" applyNumberFormat="1" applyFont="1" applyFill="1" applyBorder="1" applyAlignment="1">
      <alignment horizontal="center" vertical="center" shrinkToFit="1"/>
    </xf>
    <xf numFmtId="0" fontId="26" fillId="47" borderId="31" xfId="0" applyFont="1" applyFill="1" applyBorder="1" applyAlignment="1">
      <alignment horizontal="center" shrinkToFit="1"/>
    </xf>
    <xf numFmtId="49" fontId="26" fillId="47" borderId="31" xfId="0" applyNumberFormat="1" applyFont="1" applyFill="1" applyBorder="1" applyAlignment="1">
      <alignment horizontal="center" shrinkToFit="1"/>
    </xf>
    <xf numFmtId="0" fontId="26" fillId="47" borderId="19" xfId="0" applyFont="1" applyFill="1" applyBorder="1" applyAlignment="1">
      <alignment horizontal="center" vertical="center" shrinkToFit="1"/>
    </xf>
    <xf numFmtId="0" fontId="27" fillId="47" borderId="19" xfId="0" applyFont="1" applyFill="1" applyBorder="1" applyAlignment="1">
      <alignment horizontal="center" vertical="center" shrinkToFit="1"/>
    </xf>
    <xf numFmtId="49" fontId="26" fillId="47" borderId="19" xfId="0" applyNumberFormat="1" applyFont="1" applyFill="1" applyBorder="1" applyAlignment="1">
      <alignment horizontal="center" vertical="center" shrinkToFit="1"/>
    </xf>
    <xf numFmtId="0" fontId="26" fillId="47" borderId="19" xfId="0" applyFont="1" applyFill="1" applyBorder="1" applyAlignment="1">
      <alignment horizontal="center" shrinkToFit="1"/>
    </xf>
    <xf numFmtId="49" fontId="26" fillId="47" borderId="19" xfId="0" applyNumberFormat="1" applyFont="1" applyFill="1" applyBorder="1" applyAlignment="1">
      <alignment horizontal="center" shrinkToFit="1"/>
    </xf>
    <xf numFmtId="0" fontId="26" fillId="47" borderId="32" xfId="0" applyFont="1" applyFill="1" applyBorder="1" applyAlignment="1">
      <alignment horizontal="center" shrinkToFit="1"/>
    </xf>
    <xf numFmtId="0" fontId="29" fillId="47" borderId="32" xfId="0" applyFont="1" applyFill="1" applyBorder="1" applyAlignment="1">
      <alignment horizontal="center" shrinkToFit="1"/>
    </xf>
    <xf numFmtId="49" fontId="26" fillId="47" borderId="32" xfId="0" applyNumberFormat="1" applyFont="1" applyFill="1" applyBorder="1" applyAlignment="1">
      <alignment horizontal="center" shrinkToFit="1"/>
    </xf>
    <xf numFmtId="3" fontId="26" fillId="47" borderId="32" xfId="0" applyNumberFormat="1" applyFont="1" applyFill="1" applyBorder="1" applyAlignment="1">
      <alignment horizontal="center" shrinkToFit="1"/>
    </xf>
    <xf numFmtId="196" fontId="26" fillId="47" borderId="32" xfId="82" applyNumberFormat="1" applyFont="1" applyFill="1" applyBorder="1" applyAlignment="1">
      <alignment horizontal="center" shrinkToFit="1"/>
    </xf>
    <xf numFmtId="3" fontId="25" fillId="47" borderId="32" xfId="82" applyNumberFormat="1" applyFont="1" applyFill="1" applyBorder="1" applyAlignment="1">
      <alignment horizontal="center" shrinkToFit="1"/>
    </xf>
    <xf numFmtId="3" fontId="26" fillId="47" borderId="32" xfId="0" applyNumberFormat="1" applyFont="1" applyFill="1" applyBorder="1" applyAlignment="1" quotePrefix="1">
      <alignment horizontal="center" shrinkToFit="1"/>
    </xf>
    <xf numFmtId="0" fontId="26" fillId="47" borderId="32" xfId="0" applyFont="1" applyFill="1" applyBorder="1" applyAlignment="1">
      <alignment shrinkToFit="1"/>
    </xf>
    <xf numFmtId="0" fontId="26" fillId="22" borderId="31" xfId="0" applyFont="1" applyFill="1" applyBorder="1" applyAlignment="1">
      <alignment horizontal="center" vertical="center" shrinkToFit="1"/>
    </xf>
    <xf numFmtId="0" fontId="29" fillId="22" borderId="31" xfId="0" applyFont="1" applyFill="1" applyBorder="1" applyAlignment="1">
      <alignment horizontal="center" vertical="center" shrinkToFit="1"/>
    </xf>
    <xf numFmtId="49" fontId="26" fillId="22" borderId="31" xfId="0" applyNumberFormat="1" applyFont="1" applyFill="1" applyBorder="1" applyAlignment="1">
      <alignment horizontal="center" vertical="center" shrinkToFit="1"/>
    </xf>
    <xf numFmtId="0" fontId="26" fillId="22" borderId="31" xfId="0" applyFont="1" applyFill="1" applyBorder="1" applyAlignment="1">
      <alignment horizontal="center" shrinkToFit="1"/>
    </xf>
    <xf numFmtId="49" fontId="26" fillId="22" borderId="31" xfId="0" applyNumberFormat="1" applyFont="1" applyFill="1" applyBorder="1" applyAlignment="1">
      <alignment horizontal="center" shrinkToFit="1"/>
    </xf>
    <xf numFmtId="0" fontId="26" fillId="22" borderId="24" xfId="0" applyFont="1" applyFill="1" applyBorder="1" applyAlignment="1">
      <alignment horizontal="center" vertical="center" shrinkToFit="1"/>
    </xf>
    <xf numFmtId="0" fontId="26" fillId="48" borderId="32" xfId="0" applyFont="1" applyFill="1" applyBorder="1" applyAlignment="1">
      <alignment horizontal="center" vertical="center" shrinkToFit="1"/>
    </xf>
    <xf numFmtId="0" fontId="29" fillId="48" borderId="32" xfId="0" applyFont="1" applyFill="1" applyBorder="1" applyAlignment="1">
      <alignment horizontal="center" vertical="center" shrinkToFit="1"/>
    </xf>
    <xf numFmtId="49" fontId="26" fillId="48" borderId="32" xfId="0" applyNumberFormat="1" applyFont="1" applyFill="1" applyBorder="1" applyAlignment="1">
      <alignment horizontal="center" vertical="center" shrinkToFit="1"/>
    </xf>
    <xf numFmtId="0" fontId="26" fillId="48" borderId="32" xfId="0" applyFont="1" applyFill="1" applyBorder="1" applyAlignment="1">
      <alignment horizontal="center" shrinkToFit="1"/>
    </xf>
    <xf numFmtId="49" fontId="26" fillId="48" borderId="32" xfId="0" applyNumberFormat="1" applyFont="1" applyFill="1" applyBorder="1" applyAlignment="1">
      <alignment horizontal="center" shrinkToFit="1"/>
    </xf>
    <xf numFmtId="0" fontId="26" fillId="15" borderId="22" xfId="0" applyFont="1" applyFill="1" applyBorder="1" applyAlignment="1">
      <alignment horizontal="center" vertical="center" shrinkToFit="1"/>
    </xf>
    <xf numFmtId="0" fontId="26" fillId="15" borderId="22" xfId="0" applyFont="1" applyFill="1" applyBorder="1" applyAlignment="1">
      <alignment horizontal="left" vertical="center" shrinkToFit="1"/>
    </xf>
    <xf numFmtId="49" fontId="26" fillId="15" borderId="22" xfId="0" applyNumberFormat="1" applyFont="1" applyFill="1" applyBorder="1" applyAlignment="1">
      <alignment horizontal="center" vertical="center" shrinkToFit="1"/>
    </xf>
    <xf numFmtId="0" fontId="26" fillId="15" borderId="22" xfId="0" applyFont="1" applyFill="1" applyBorder="1" applyAlignment="1">
      <alignment horizontal="center" shrinkToFit="1"/>
    </xf>
    <xf numFmtId="196" fontId="26" fillId="15" borderId="22" xfId="82" applyNumberFormat="1" applyFont="1" applyFill="1" applyBorder="1" applyAlignment="1">
      <alignment horizontal="center" shrinkToFit="1"/>
    </xf>
    <xf numFmtId="3" fontId="26" fillId="15" borderId="22" xfId="82" applyNumberFormat="1" applyFont="1" applyFill="1" applyBorder="1" applyAlignment="1">
      <alignment horizontal="center" shrinkToFit="1"/>
    </xf>
    <xf numFmtId="3" fontId="26" fillId="15" borderId="22" xfId="0" applyNumberFormat="1" applyFont="1" applyFill="1" applyBorder="1" applyAlignment="1">
      <alignment horizontal="center" shrinkToFit="1"/>
    </xf>
    <xf numFmtId="49" fontId="26" fillId="49" borderId="31" xfId="0" applyNumberFormat="1" applyFont="1" applyFill="1" applyBorder="1" applyAlignment="1">
      <alignment horizontal="center" vertical="center" shrinkToFit="1"/>
    </xf>
    <xf numFmtId="0" fontId="26" fillId="49" borderId="31" xfId="0" applyFont="1" applyFill="1" applyBorder="1" applyAlignment="1">
      <alignment horizontal="center" shrinkToFit="1"/>
    </xf>
    <xf numFmtId="49" fontId="26" fillId="50" borderId="33" xfId="0" applyNumberFormat="1" applyFont="1" applyFill="1" applyBorder="1" applyAlignment="1">
      <alignment horizontal="center" vertical="center" shrinkToFit="1"/>
    </xf>
    <xf numFmtId="0" fontId="26" fillId="50" borderId="33" xfId="0" applyFont="1" applyFill="1" applyBorder="1" applyAlignment="1">
      <alignment horizontal="center" shrinkToFit="1"/>
    </xf>
    <xf numFmtId="49" fontId="26" fillId="50" borderId="31" xfId="0" applyNumberFormat="1" applyFont="1" applyFill="1" applyBorder="1" applyAlignment="1">
      <alignment horizontal="center" vertical="center" shrinkToFit="1"/>
    </xf>
    <xf numFmtId="0" fontId="26" fillId="50" borderId="31" xfId="0" applyFont="1" applyFill="1" applyBorder="1" applyAlignment="1">
      <alignment horizontal="center" shrinkToFit="1"/>
    </xf>
    <xf numFmtId="49" fontId="26" fillId="50" borderId="34" xfId="0" applyNumberFormat="1" applyFont="1" applyFill="1" applyBorder="1" applyAlignment="1">
      <alignment horizontal="center" shrinkToFit="1"/>
    </xf>
    <xf numFmtId="49" fontId="26" fillId="50" borderId="35" xfId="0" applyNumberFormat="1" applyFont="1" applyFill="1" applyBorder="1" applyAlignment="1">
      <alignment horizontal="center" shrinkToFit="1"/>
    </xf>
    <xf numFmtId="49" fontId="26" fillId="50" borderId="36" xfId="0" applyNumberFormat="1" applyFont="1" applyFill="1" applyBorder="1" applyAlignment="1">
      <alignment horizontal="center" shrinkToFit="1"/>
    </xf>
    <xf numFmtId="49" fontId="26" fillId="50" borderId="26" xfId="0" applyNumberFormat="1" applyFont="1" applyFill="1" applyBorder="1" applyAlignment="1">
      <alignment horizontal="center" vertical="center" shrinkToFit="1"/>
    </xf>
    <xf numFmtId="0" fontId="26" fillId="50" borderId="26" xfId="0" applyFont="1" applyFill="1" applyBorder="1" applyAlignment="1">
      <alignment horizontal="center" shrinkToFit="1"/>
    </xf>
    <xf numFmtId="0" fontId="26" fillId="50" borderId="22" xfId="0" applyFont="1" applyFill="1" applyBorder="1" applyAlignment="1">
      <alignment horizontal="center" shrinkToFit="1"/>
    </xf>
    <xf numFmtId="49" fontId="26" fillId="50" borderId="22" xfId="0" applyNumberFormat="1" applyFont="1" applyFill="1" applyBorder="1" applyAlignment="1">
      <alignment horizontal="center" shrinkToFit="1"/>
    </xf>
    <xf numFmtId="0" fontId="26" fillId="49" borderId="31" xfId="0" applyFont="1" applyFill="1" applyBorder="1" applyAlignment="1">
      <alignment horizontal="center" vertical="center" shrinkToFit="1"/>
    </xf>
    <xf numFmtId="0" fontId="29" fillId="49" borderId="31" xfId="0" applyFont="1" applyFill="1" applyBorder="1" applyAlignment="1">
      <alignment horizontal="center" vertical="center" shrinkToFit="1"/>
    </xf>
    <xf numFmtId="49" fontId="26" fillId="49" borderId="31" xfId="0" applyNumberFormat="1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left" shrinkToFit="1"/>
    </xf>
    <xf numFmtId="49" fontId="26" fillId="0" borderId="19" xfId="0" applyNumberFormat="1" applyFont="1" applyFill="1" applyBorder="1" applyAlignment="1">
      <alignment horizontal="center" shrinkToFit="1"/>
    </xf>
    <xf numFmtId="3" fontId="26" fillId="0" borderId="19" xfId="0" applyNumberFormat="1" applyFont="1" applyFill="1" applyBorder="1" applyAlignment="1">
      <alignment horizontal="center" shrinkToFit="1"/>
    </xf>
    <xf numFmtId="196" fontId="26" fillId="0" borderId="19" xfId="82" applyNumberFormat="1" applyFont="1" applyFill="1" applyBorder="1" applyAlignment="1">
      <alignment horizontal="center" vertical="center" shrinkToFit="1"/>
    </xf>
    <xf numFmtId="196" fontId="26" fillId="0" borderId="19" xfId="82" applyNumberFormat="1" applyFont="1" applyFill="1" applyBorder="1" applyAlignment="1">
      <alignment horizontal="center" shrinkToFit="1"/>
    </xf>
    <xf numFmtId="0" fontId="27" fillId="15" borderId="22" xfId="0" applyFont="1" applyFill="1" applyBorder="1" applyAlignment="1" quotePrefix="1">
      <alignment horizontal="center" shrinkToFit="1"/>
    </xf>
    <xf numFmtId="0" fontId="27" fillId="15" borderId="22" xfId="0" applyFont="1" applyFill="1" applyBorder="1" applyAlignment="1">
      <alignment shrinkToFit="1"/>
    </xf>
    <xf numFmtId="49" fontId="27" fillId="15" borderId="22" xfId="0" applyNumberFormat="1" applyFont="1" applyFill="1" applyBorder="1" applyAlignment="1">
      <alignment shrinkToFit="1"/>
    </xf>
    <xf numFmtId="196" fontId="27" fillId="15" borderId="22" xfId="82" applyNumberFormat="1" applyFont="1" applyFill="1" applyBorder="1" applyAlignment="1">
      <alignment shrinkToFit="1"/>
    </xf>
    <xf numFmtId="3" fontId="27" fillId="15" borderId="22" xfId="0" applyNumberFormat="1" applyFont="1" applyFill="1" applyBorder="1" applyAlignment="1" quotePrefix="1">
      <alignment horizontal="center" shrinkToFit="1"/>
    </xf>
    <xf numFmtId="3" fontId="27" fillId="15" borderId="22" xfId="0" applyNumberFormat="1" applyFont="1" applyFill="1" applyBorder="1" applyAlignment="1">
      <alignment horizontal="center" shrinkToFit="1"/>
    </xf>
    <xf numFmtId="3" fontId="26" fillId="0" borderId="23" xfId="82" applyNumberFormat="1" applyFont="1" applyBorder="1" applyAlignment="1" quotePrefix="1">
      <alignment horizontal="center" shrinkToFit="1"/>
    </xf>
    <xf numFmtId="3" fontId="26" fillId="0" borderId="23" xfId="0" applyNumberFormat="1" applyFont="1" applyBorder="1" applyAlignment="1" quotePrefix="1">
      <alignment horizontal="center" shrinkToFit="1"/>
    </xf>
    <xf numFmtId="0" fontId="26" fillId="0" borderId="19" xfId="0" applyFont="1" applyFill="1" applyBorder="1" applyAlignment="1">
      <alignment horizontal="center" vertical="top" shrinkToFit="1"/>
    </xf>
    <xf numFmtId="2" fontId="26" fillId="0" borderId="19" xfId="0" applyNumberFormat="1" applyFont="1" applyFill="1" applyBorder="1" applyAlignment="1">
      <alignment horizontal="left" vertical="top" shrinkToFit="1"/>
    </xf>
    <xf numFmtId="49" fontId="26" fillId="0" borderId="19" xfId="0" applyNumberFormat="1" applyFont="1" applyFill="1" applyBorder="1" applyAlignment="1">
      <alignment horizontal="center" vertical="top" shrinkToFit="1"/>
    </xf>
    <xf numFmtId="196" fontId="26" fillId="0" borderId="19" xfId="82" applyNumberFormat="1" applyFont="1" applyFill="1" applyBorder="1" applyAlignment="1">
      <alignment horizontal="center" vertical="top" shrinkToFit="1"/>
    </xf>
    <xf numFmtId="3" fontId="26" fillId="0" borderId="19" xfId="0" applyNumberFormat="1" applyFont="1" applyFill="1" applyBorder="1" applyAlignment="1">
      <alignment horizontal="center" vertical="top" shrinkToFit="1"/>
    </xf>
    <xf numFmtId="0" fontId="26" fillId="0" borderId="21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left" shrinkToFit="1"/>
    </xf>
    <xf numFmtId="49" fontId="26" fillId="0" borderId="21" xfId="0" applyNumberFormat="1" applyFont="1" applyFill="1" applyBorder="1" applyAlignment="1">
      <alignment horizontal="center" shrinkToFit="1"/>
    </xf>
    <xf numFmtId="3" fontId="26" fillId="0" borderId="21" xfId="0" applyNumberFormat="1" applyFont="1" applyFill="1" applyBorder="1" applyAlignment="1">
      <alignment horizontal="center" shrinkToFit="1"/>
    </xf>
    <xf numFmtId="196" fontId="26" fillId="0" borderId="21" xfId="82" applyNumberFormat="1" applyFont="1" applyFill="1" applyBorder="1" applyAlignment="1">
      <alignment horizontal="center" shrinkToFit="1"/>
    </xf>
    <xf numFmtId="3" fontId="51" fillId="0" borderId="21" xfId="82" applyNumberFormat="1" applyFont="1" applyFill="1" applyBorder="1" applyAlignment="1">
      <alignment horizontal="center" shrinkToFit="1"/>
    </xf>
    <xf numFmtId="3" fontId="51" fillId="0" borderId="21" xfId="0" applyNumberFormat="1" applyFont="1" applyFill="1" applyBorder="1" applyAlignment="1" quotePrefix="1">
      <alignment horizontal="center" shrinkToFit="1"/>
    </xf>
    <xf numFmtId="3" fontId="27" fillId="51" borderId="22" xfId="82" applyNumberFormat="1" applyFont="1" applyFill="1" applyBorder="1" applyAlignment="1">
      <alignment horizontal="center" shrinkToFit="1"/>
    </xf>
    <xf numFmtId="43" fontId="27" fillId="51" borderId="22" xfId="82" applyFont="1" applyFill="1" applyBorder="1" applyAlignment="1">
      <alignment horizontal="center" shrinkToFit="1"/>
    </xf>
    <xf numFmtId="0" fontId="29" fillId="47" borderId="31" xfId="0" applyFont="1" applyFill="1" applyBorder="1" applyAlignment="1">
      <alignment horizontal="center" vertical="center" shrinkToFit="1"/>
    </xf>
    <xf numFmtId="0" fontId="26" fillId="52" borderId="19" xfId="0" applyFont="1" applyFill="1" applyBorder="1" applyAlignment="1">
      <alignment shrinkToFit="1"/>
    </xf>
    <xf numFmtId="0" fontId="26" fillId="52" borderId="19" xfId="0" applyFont="1" applyFill="1" applyBorder="1" applyAlignment="1">
      <alignment vertical="top" shrinkToFit="1"/>
    </xf>
    <xf numFmtId="0" fontId="26" fillId="52" borderId="21" xfId="0" applyFont="1" applyFill="1" applyBorder="1" applyAlignment="1">
      <alignment shrinkToFit="1"/>
    </xf>
    <xf numFmtId="3" fontId="51" fillId="0" borderId="19" xfId="82" applyNumberFormat="1" applyFont="1" applyFill="1" applyBorder="1" applyAlignment="1">
      <alignment horizontal="center" shrinkToFit="1"/>
    </xf>
    <xf numFmtId="3" fontId="51" fillId="0" borderId="19" xfId="0" applyNumberFormat="1" applyFont="1" applyFill="1" applyBorder="1" applyAlignment="1" quotePrefix="1">
      <alignment horizontal="center" shrinkToFit="1"/>
    </xf>
    <xf numFmtId="196" fontId="26" fillId="0" borderId="24" xfId="82" applyNumberFormat="1" applyFont="1" applyBorder="1" applyAlignment="1">
      <alignment horizontal="center" vertical="top" shrinkToFit="1"/>
    </xf>
    <xf numFmtId="3" fontId="26" fillId="0" borderId="24" xfId="82" applyNumberFormat="1" applyFont="1" applyBorder="1" applyAlignment="1">
      <alignment horizontal="center" vertical="top" shrinkToFit="1"/>
    </xf>
    <xf numFmtId="3" fontId="26" fillId="0" borderId="24" xfId="0" applyNumberFormat="1" applyFont="1" applyBorder="1" applyAlignment="1">
      <alignment horizontal="center" vertical="top" shrinkToFit="1"/>
    </xf>
    <xf numFmtId="0" fontId="27" fillId="0" borderId="37" xfId="0" applyFont="1" applyBorder="1" applyAlignment="1">
      <alignment horizontal="left" shrinkToFit="1"/>
    </xf>
    <xf numFmtId="0" fontId="27" fillId="0" borderId="38" xfId="0" applyFont="1" applyBorder="1" applyAlignment="1">
      <alignment horizontal="left" shrinkToFit="1"/>
    </xf>
    <xf numFmtId="49" fontId="26" fillId="0" borderId="0" xfId="0" applyNumberFormat="1" applyFont="1" applyAlignment="1">
      <alignment horizontal="center"/>
    </xf>
    <xf numFmtId="3" fontId="26" fillId="0" borderId="0" xfId="82" applyNumberFormat="1" applyFont="1" applyBorder="1" applyAlignment="1">
      <alignment horizontal="center"/>
    </xf>
    <xf numFmtId="0" fontId="52" fillId="53" borderId="28" xfId="0" applyFont="1" applyFill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0" fontId="26" fillId="50" borderId="39" xfId="0" applyFont="1" applyFill="1" applyBorder="1" applyAlignment="1">
      <alignment horizontal="center" vertical="center" shrinkToFit="1"/>
    </xf>
    <xf numFmtId="0" fontId="26" fillId="50" borderId="28" xfId="0" applyFont="1" applyFill="1" applyBorder="1" applyAlignment="1">
      <alignment horizontal="center" vertical="center" shrinkToFit="1"/>
    </xf>
    <xf numFmtId="0" fontId="26" fillId="50" borderId="40" xfId="0" applyFont="1" applyFill="1" applyBorder="1" applyAlignment="1">
      <alignment horizontal="center" vertical="center" shrinkToFit="1"/>
    </xf>
    <xf numFmtId="0" fontId="28" fillId="50" borderId="41" xfId="0" applyFont="1" applyFill="1" applyBorder="1" applyAlignment="1">
      <alignment horizontal="center" vertical="center" shrinkToFit="1"/>
    </xf>
    <xf numFmtId="0" fontId="28" fillId="50" borderId="0" xfId="0" applyFont="1" applyFill="1" applyBorder="1" applyAlignment="1">
      <alignment horizontal="center" vertical="center" shrinkToFit="1"/>
    </xf>
    <xf numFmtId="0" fontId="28" fillId="50" borderId="42" xfId="0" applyFont="1" applyFill="1" applyBorder="1" applyAlignment="1">
      <alignment horizontal="center" vertical="center" shrinkToFit="1"/>
    </xf>
    <xf numFmtId="0" fontId="28" fillId="50" borderId="34" xfId="0" applyFont="1" applyFill="1" applyBorder="1" applyAlignment="1">
      <alignment horizontal="center" vertical="center" shrinkToFit="1"/>
    </xf>
    <xf numFmtId="0" fontId="28" fillId="50" borderId="35" xfId="0" applyFont="1" applyFill="1" applyBorder="1" applyAlignment="1">
      <alignment horizontal="center" vertical="center" shrinkToFit="1"/>
    </xf>
    <xf numFmtId="0" fontId="28" fillId="50" borderId="36" xfId="0" applyFont="1" applyFill="1" applyBorder="1" applyAlignment="1">
      <alignment horizontal="center" vertical="center" shrinkToFit="1"/>
    </xf>
    <xf numFmtId="0" fontId="26" fillId="50" borderId="22" xfId="0" applyFont="1" applyFill="1" applyBorder="1" applyAlignment="1">
      <alignment horizontal="center" vertical="center" shrinkToFit="1"/>
    </xf>
    <xf numFmtId="0" fontId="26" fillId="50" borderId="41" xfId="0" applyFont="1" applyFill="1" applyBorder="1" applyAlignment="1">
      <alignment horizontal="center" shrinkToFit="1"/>
    </xf>
    <xf numFmtId="0" fontId="26" fillId="50" borderId="0" xfId="0" applyFont="1" applyFill="1" applyBorder="1" applyAlignment="1">
      <alignment horizontal="center" shrinkToFit="1"/>
    </xf>
    <xf numFmtId="0" fontId="26" fillId="50" borderId="42" xfId="0" applyFont="1" applyFill="1" applyBorder="1" applyAlignment="1">
      <alignment horizontal="center" shrinkToFit="1"/>
    </xf>
    <xf numFmtId="49" fontId="26" fillId="50" borderId="41" xfId="0" applyNumberFormat="1" applyFont="1" applyFill="1" applyBorder="1" applyAlignment="1">
      <alignment horizontal="center" shrinkToFit="1"/>
    </xf>
    <xf numFmtId="49" fontId="26" fillId="50" borderId="0" xfId="0" applyNumberFormat="1" applyFont="1" applyFill="1" applyBorder="1" applyAlignment="1">
      <alignment horizontal="center" shrinkToFit="1"/>
    </xf>
    <xf numFmtId="49" fontId="26" fillId="50" borderId="42" xfId="0" applyNumberFormat="1" applyFont="1" applyFill="1" applyBorder="1" applyAlignment="1">
      <alignment horizontal="center" shrinkToFit="1"/>
    </xf>
    <xf numFmtId="0" fontId="26" fillId="50" borderId="34" xfId="0" applyFont="1" applyFill="1" applyBorder="1" applyAlignment="1">
      <alignment horizontal="center" shrinkToFit="1"/>
    </xf>
    <xf numFmtId="0" fontId="26" fillId="50" borderId="35" xfId="0" applyFont="1" applyFill="1" applyBorder="1" applyAlignment="1">
      <alignment horizontal="center" shrinkToFit="1"/>
    </xf>
    <xf numFmtId="0" fontId="26" fillId="50" borderId="36" xfId="0" applyFont="1" applyFill="1" applyBorder="1" applyAlignment="1">
      <alignment horizontal="center" shrinkToFit="1"/>
    </xf>
    <xf numFmtId="0" fontId="26" fillId="50" borderId="39" xfId="0" applyFont="1" applyFill="1" applyBorder="1" applyAlignment="1">
      <alignment horizontal="center" shrinkToFit="1"/>
    </xf>
    <xf numFmtId="0" fontId="26" fillId="50" borderId="28" xfId="0" applyFont="1" applyFill="1" applyBorder="1" applyAlignment="1">
      <alignment horizontal="center" shrinkToFit="1"/>
    </xf>
    <xf numFmtId="0" fontId="26" fillId="50" borderId="40" xfId="0" applyFont="1" applyFill="1" applyBorder="1" applyAlignment="1">
      <alignment horizontal="center" shrinkToFit="1"/>
    </xf>
    <xf numFmtId="49" fontId="26" fillId="50" borderId="39" xfId="0" applyNumberFormat="1" applyFont="1" applyFill="1" applyBorder="1" applyAlignment="1">
      <alignment horizontal="center" shrinkToFit="1"/>
    </xf>
    <xf numFmtId="49" fontId="26" fillId="50" borderId="28" xfId="0" applyNumberFormat="1" applyFont="1" applyFill="1" applyBorder="1" applyAlignment="1">
      <alignment horizontal="center" shrinkToFit="1"/>
    </xf>
    <xf numFmtId="49" fontId="26" fillId="50" borderId="40" xfId="0" applyNumberFormat="1" applyFont="1" applyFill="1" applyBorder="1" applyAlignment="1">
      <alignment horizontal="center" shrinkToFit="1"/>
    </xf>
    <xf numFmtId="0" fontId="26" fillId="50" borderId="41" xfId="0" applyFont="1" applyFill="1" applyBorder="1" applyAlignment="1">
      <alignment horizontal="center" vertical="center" shrinkToFit="1"/>
    </xf>
    <xf numFmtId="0" fontId="26" fillId="50" borderId="0" xfId="0" applyFont="1" applyFill="1" applyBorder="1" applyAlignment="1">
      <alignment horizontal="center" vertical="center" shrinkToFit="1"/>
    </xf>
    <xf numFmtId="0" fontId="26" fillId="50" borderId="42" xfId="0" applyFont="1" applyFill="1" applyBorder="1" applyAlignment="1">
      <alignment horizontal="center" vertical="center" shrinkToFit="1"/>
    </xf>
    <xf numFmtId="0" fontId="26" fillId="50" borderId="34" xfId="0" applyFont="1" applyFill="1" applyBorder="1" applyAlignment="1">
      <alignment horizontal="center" vertical="center" shrinkToFit="1"/>
    </xf>
    <xf numFmtId="0" fontId="26" fillId="50" borderId="35" xfId="0" applyFont="1" applyFill="1" applyBorder="1" applyAlignment="1">
      <alignment horizontal="center" vertical="center" shrinkToFit="1"/>
    </xf>
    <xf numFmtId="0" fontId="26" fillId="50" borderId="36" xfId="0" applyFont="1" applyFill="1" applyBorder="1" applyAlignment="1">
      <alignment horizontal="center" vertical="center" shrinkToFit="1"/>
    </xf>
    <xf numFmtId="0" fontId="0" fillId="50" borderId="28" xfId="0" applyFill="1" applyBorder="1" applyAlignment="1">
      <alignment/>
    </xf>
    <xf numFmtId="0" fontId="0" fillId="50" borderId="40" xfId="0" applyFill="1" applyBorder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Neutral" xfId="71"/>
    <cellStyle name="Normal 2" xfId="72"/>
    <cellStyle name="Normal 3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้อนค่า" xfId="90"/>
    <cellStyle name="ปานกลาง" xfId="91"/>
    <cellStyle name="Percent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9"/>
  <sheetViews>
    <sheetView tabSelected="1" view="pageBreakPreview" zoomScale="110" zoomScaleSheetLayoutView="110" zoomScalePageLayoutView="0" workbookViewId="0" topLeftCell="A67">
      <selection activeCell="J69" sqref="J69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7.57421875" style="0" customWidth="1"/>
    <col min="4" max="4" width="6.7109375" style="0" customWidth="1"/>
    <col min="5" max="5" width="8.140625" style="0" customWidth="1"/>
    <col min="6" max="6" width="9.00390625" style="0" customWidth="1"/>
    <col min="7" max="12" width="5.57421875" style="0" customWidth="1"/>
    <col min="13" max="18" width="8.140625" style="0" customWidth="1"/>
    <col min="19" max="19" width="8.421875" style="0" customWidth="1"/>
  </cols>
  <sheetData>
    <row r="1" spans="1:19" ht="17.25" customHeight="1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9" s="3" customFormat="1" ht="24" customHeight="1">
      <c r="A2" s="12"/>
      <c r="B2" s="60" t="s">
        <v>29</v>
      </c>
      <c r="C2" s="13"/>
      <c r="D2" s="13"/>
      <c r="E2" s="13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9" customFormat="1" ht="20.25" customHeight="1">
      <c r="A3" s="191" t="s">
        <v>2</v>
      </c>
      <c r="B3" s="191" t="s">
        <v>3</v>
      </c>
      <c r="C3" s="125"/>
      <c r="D3" s="126" t="s">
        <v>12</v>
      </c>
      <c r="E3" s="182" t="s">
        <v>18</v>
      </c>
      <c r="F3" s="184"/>
      <c r="G3" s="201" t="s">
        <v>13</v>
      </c>
      <c r="H3" s="213"/>
      <c r="I3" s="214"/>
      <c r="J3" s="204" t="s">
        <v>17</v>
      </c>
      <c r="K3" s="205"/>
      <c r="L3" s="206"/>
      <c r="M3" s="182" t="s">
        <v>40</v>
      </c>
      <c r="N3" s="183"/>
      <c r="O3" s="184"/>
      <c r="P3" s="182" t="s">
        <v>41</v>
      </c>
      <c r="Q3" s="183"/>
      <c r="R3" s="184"/>
      <c r="S3" s="191" t="s">
        <v>0</v>
      </c>
    </row>
    <row r="4" spans="1:19" s="9" customFormat="1" ht="22.5" customHeight="1">
      <c r="A4" s="191"/>
      <c r="B4" s="191"/>
      <c r="C4" s="127" t="s">
        <v>30</v>
      </c>
      <c r="D4" s="128" t="s">
        <v>4</v>
      </c>
      <c r="E4" s="207"/>
      <c r="F4" s="209"/>
      <c r="G4" s="192" t="s">
        <v>14</v>
      </c>
      <c r="H4" s="193"/>
      <c r="I4" s="194"/>
      <c r="J4" s="195" t="s">
        <v>16</v>
      </c>
      <c r="K4" s="196"/>
      <c r="L4" s="197"/>
      <c r="M4" s="207"/>
      <c r="N4" s="208"/>
      <c r="O4" s="209"/>
      <c r="P4" s="207"/>
      <c r="Q4" s="208"/>
      <c r="R4" s="209"/>
      <c r="S4" s="191"/>
    </row>
    <row r="5" spans="1:19" s="9" customFormat="1" ht="22.5" customHeight="1">
      <c r="A5" s="191"/>
      <c r="B5" s="191"/>
      <c r="C5" s="127" t="s">
        <v>22</v>
      </c>
      <c r="D5" s="128" t="s">
        <v>5</v>
      </c>
      <c r="E5" s="210"/>
      <c r="F5" s="212"/>
      <c r="G5" s="198" t="s">
        <v>15</v>
      </c>
      <c r="H5" s="199"/>
      <c r="I5" s="200"/>
      <c r="J5" s="129"/>
      <c r="K5" s="130"/>
      <c r="L5" s="131"/>
      <c r="M5" s="210"/>
      <c r="N5" s="211"/>
      <c r="O5" s="212"/>
      <c r="P5" s="210"/>
      <c r="Q5" s="211"/>
      <c r="R5" s="212"/>
      <c r="S5" s="191"/>
    </row>
    <row r="6" spans="1:19" s="9" customFormat="1" ht="22.5">
      <c r="A6" s="191"/>
      <c r="B6" s="191"/>
      <c r="C6" s="132"/>
      <c r="D6" s="133" t="s">
        <v>12</v>
      </c>
      <c r="E6" s="134" t="s">
        <v>31</v>
      </c>
      <c r="F6" s="134" t="s">
        <v>42</v>
      </c>
      <c r="G6" s="135" t="s">
        <v>23</v>
      </c>
      <c r="H6" s="135" t="s">
        <v>24</v>
      </c>
      <c r="I6" s="135" t="s">
        <v>25</v>
      </c>
      <c r="J6" s="135" t="s">
        <v>23</v>
      </c>
      <c r="K6" s="135" t="s">
        <v>24</v>
      </c>
      <c r="L6" s="135" t="s">
        <v>25</v>
      </c>
      <c r="M6" s="135" t="s">
        <v>23</v>
      </c>
      <c r="N6" s="135" t="s">
        <v>24</v>
      </c>
      <c r="O6" s="135" t="s">
        <v>25</v>
      </c>
      <c r="P6" s="135" t="s">
        <v>23</v>
      </c>
      <c r="Q6" s="135" t="s">
        <v>24</v>
      </c>
      <c r="R6" s="135" t="s">
        <v>25</v>
      </c>
      <c r="S6" s="191"/>
    </row>
    <row r="7" spans="1:19" s="9" customFormat="1" ht="21" customHeight="1">
      <c r="A7" s="116">
        <v>1</v>
      </c>
      <c r="B7" s="117" t="s">
        <v>71</v>
      </c>
      <c r="C7" s="118" t="s">
        <v>72</v>
      </c>
      <c r="D7" s="119">
        <v>1</v>
      </c>
      <c r="E7" s="119">
        <v>1</v>
      </c>
      <c r="F7" s="120">
        <f>(27480+3500)*12</f>
        <v>371760</v>
      </c>
      <c r="G7" s="121">
        <v>1</v>
      </c>
      <c r="H7" s="121">
        <v>1</v>
      </c>
      <c r="I7" s="121">
        <v>1</v>
      </c>
      <c r="J7" s="122" t="s">
        <v>1</v>
      </c>
      <c r="K7" s="122" t="s">
        <v>1</v>
      </c>
      <c r="L7" s="122" t="s">
        <v>1</v>
      </c>
      <c r="M7" s="120">
        <f>(28560-27480)*12</f>
        <v>12960</v>
      </c>
      <c r="N7" s="120">
        <f>(29680-28560)*12</f>
        <v>13440</v>
      </c>
      <c r="O7" s="120">
        <f>(30790-29680)*12</f>
        <v>13320</v>
      </c>
      <c r="P7" s="120">
        <f>F7+M7</f>
        <v>384720</v>
      </c>
      <c r="Q7" s="120">
        <f>P7+N7</f>
        <v>398160</v>
      </c>
      <c r="R7" s="120">
        <f>Q7+O7</f>
        <v>411480</v>
      </c>
      <c r="S7" s="116"/>
    </row>
    <row r="8" spans="1:19" s="9" customFormat="1" ht="21" customHeight="1">
      <c r="A8" s="87"/>
      <c r="B8" s="167" t="s">
        <v>38</v>
      </c>
      <c r="C8" s="89"/>
      <c r="D8" s="90"/>
      <c r="E8" s="90"/>
      <c r="F8" s="90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87"/>
    </row>
    <row r="9" spans="1:19" s="10" customFormat="1" ht="20.25" customHeight="1">
      <c r="A9" s="14">
        <v>2</v>
      </c>
      <c r="B9" s="15" t="s">
        <v>70</v>
      </c>
      <c r="C9" s="16" t="s">
        <v>7</v>
      </c>
      <c r="D9" s="14">
        <v>1</v>
      </c>
      <c r="E9" s="17">
        <v>1</v>
      </c>
      <c r="F9" s="18">
        <f>(22040+3500)*12</f>
        <v>306480</v>
      </c>
      <c r="G9" s="80">
        <v>1</v>
      </c>
      <c r="H9" s="80">
        <v>1</v>
      </c>
      <c r="I9" s="80">
        <v>1</v>
      </c>
      <c r="J9" s="17" t="s">
        <v>1</v>
      </c>
      <c r="K9" s="17" t="s">
        <v>1</v>
      </c>
      <c r="L9" s="17" t="s">
        <v>1</v>
      </c>
      <c r="M9" s="18">
        <f>(22920-22040)*12</f>
        <v>10560</v>
      </c>
      <c r="N9" s="18">
        <f>(23820-22920)*12</f>
        <v>10800</v>
      </c>
      <c r="O9" s="18">
        <f>(24730-23820)*12</f>
        <v>10920</v>
      </c>
      <c r="P9" s="18">
        <f>F9+M9</f>
        <v>317040</v>
      </c>
      <c r="Q9" s="18">
        <f aca="true" t="shared" si="0" ref="Q9:R13">P9+N9</f>
        <v>327840</v>
      </c>
      <c r="R9" s="18">
        <f t="shared" si="0"/>
        <v>338760</v>
      </c>
      <c r="S9" s="19"/>
    </row>
    <row r="10" spans="1:19" s="10" customFormat="1" ht="22.5">
      <c r="A10" s="14">
        <v>3</v>
      </c>
      <c r="B10" s="15" t="s">
        <v>101</v>
      </c>
      <c r="C10" s="16" t="s">
        <v>57</v>
      </c>
      <c r="D10" s="14">
        <v>1</v>
      </c>
      <c r="E10" s="17">
        <v>1</v>
      </c>
      <c r="F10" s="18">
        <f>20770*12</f>
        <v>249240</v>
      </c>
      <c r="G10" s="80">
        <v>1</v>
      </c>
      <c r="H10" s="80">
        <v>1</v>
      </c>
      <c r="I10" s="80">
        <v>1</v>
      </c>
      <c r="J10" s="17" t="s">
        <v>1</v>
      </c>
      <c r="K10" s="17" t="s">
        <v>1</v>
      </c>
      <c r="L10" s="17" t="s">
        <v>1</v>
      </c>
      <c r="M10" s="18">
        <f>(21500-20770)*12</f>
        <v>8760</v>
      </c>
      <c r="N10" s="18">
        <f>(22230-21500)*12</f>
        <v>8760</v>
      </c>
      <c r="O10" s="18">
        <f>(22980-22230)*12</f>
        <v>9000</v>
      </c>
      <c r="P10" s="18">
        <f>F10+M10</f>
        <v>258000</v>
      </c>
      <c r="Q10" s="18">
        <f t="shared" si="0"/>
        <v>266760</v>
      </c>
      <c r="R10" s="18">
        <f t="shared" si="0"/>
        <v>275760</v>
      </c>
      <c r="S10" s="19"/>
    </row>
    <row r="11" spans="1:19" s="10" customFormat="1" ht="20.25" customHeight="1">
      <c r="A11" s="14">
        <v>4</v>
      </c>
      <c r="B11" s="15" t="s">
        <v>19</v>
      </c>
      <c r="C11" s="16" t="s">
        <v>11</v>
      </c>
      <c r="D11" s="14">
        <v>1</v>
      </c>
      <c r="E11" s="17">
        <v>1</v>
      </c>
      <c r="F11" s="18">
        <f>15140*12</f>
        <v>181680</v>
      </c>
      <c r="G11" s="80">
        <v>1</v>
      </c>
      <c r="H11" s="80">
        <v>1</v>
      </c>
      <c r="I11" s="80">
        <v>1</v>
      </c>
      <c r="J11" s="17" t="s">
        <v>1</v>
      </c>
      <c r="K11" s="17" t="s">
        <v>1</v>
      </c>
      <c r="L11" s="17" t="s">
        <v>1</v>
      </c>
      <c r="M11" s="18">
        <f>(15720-15140)*12</f>
        <v>6960</v>
      </c>
      <c r="N11" s="18">
        <f>(16340-15720)*12</f>
        <v>7440</v>
      </c>
      <c r="O11" s="18">
        <f>(16960-16340)*12</f>
        <v>7440</v>
      </c>
      <c r="P11" s="18">
        <f>F11+M11</f>
        <v>188640</v>
      </c>
      <c r="Q11" s="18">
        <f t="shared" si="0"/>
        <v>196080</v>
      </c>
      <c r="R11" s="18">
        <f t="shared" si="0"/>
        <v>203520</v>
      </c>
      <c r="S11" s="19"/>
    </row>
    <row r="12" spans="1:19" s="10" customFormat="1" ht="20.25" customHeight="1">
      <c r="A12" s="14">
        <v>5</v>
      </c>
      <c r="B12" s="15" t="s">
        <v>58</v>
      </c>
      <c r="C12" s="16" t="s">
        <v>11</v>
      </c>
      <c r="D12" s="14">
        <v>1</v>
      </c>
      <c r="E12" s="17">
        <v>1</v>
      </c>
      <c r="F12" s="18">
        <f>18190*12</f>
        <v>218280</v>
      </c>
      <c r="G12" s="80">
        <v>1</v>
      </c>
      <c r="H12" s="80">
        <v>1</v>
      </c>
      <c r="I12" s="80">
        <v>1</v>
      </c>
      <c r="J12" s="17" t="s">
        <v>1</v>
      </c>
      <c r="K12" s="17" t="s">
        <v>1</v>
      </c>
      <c r="L12" s="17" t="s">
        <v>1</v>
      </c>
      <c r="M12" s="18">
        <f>(18790-18190)*12</f>
        <v>7200</v>
      </c>
      <c r="N12" s="18">
        <f>(19410-18790)*12</f>
        <v>7440</v>
      </c>
      <c r="O12" s="18">
        <f>(20040-19410)*12</f>
        <v>7560</v>
      </c>
      <c r="P12" s="18">
        <f>F12+M12</f>
        <v>225480</v>
      </c>
      <c r="Q12" s="18">
        <f t="shared" si="0"/>
        <v>232920</v>
      </c>
      <c r="R12" s="18">
        <f t="shared" si="0"/>
        <v>240480</v>
      </c>
      <c r="S12" s="19"/>
    </row>
    <row r="13" spans="1:19" s="10" customFormat="1" ht="20.25" customHeight="1">
      <c r="A13" s="14">
        <v>6</v>
      </c>
      <c r="B13" s="15" t="s">
        <v>59</v>
      </c>
      <c r="C13" s="16" t="s">
        <v>8</v>
      </c>
      <c r="D13" s="14">
        <v>1</v>
      </c>
      <c r="E13" s="17">
        <v>1</v>
      </c>
      <c r="F13" s="18">
        <f>13310*12</f>
        <v>159720</v>
      </c>
      <c r="G13" s="80">
        <v>1</v>
      </c>
      <c r="H13" s="80">
        <v>1</v>
      </c>
      <c r="I13" s="80">
        <v>1</v>
      </c>
      <c r="J13" s="17" t="s">
        <v>1</v>
      </c>
      <c r="K13" s="17" t="s">
        <v>1</v>
      </c>
      <c r="L13" s="17" t="s">
        <v>1</v>
      </c>
      <c r="M13" s="18">
        <f>(13820-13310)*12</f>
        <v>6120</v>
      </c>
      <c r="N13" s="18">
        <f>(14320-13820)*12</f>
        <v>6000</v>
      </c>
      <c r="O13" s="18">
        <f>(14810-14320)*12</f>
        <v>5880</v>
      </c>
      <c r="P13" s="18">
        <f>F13+M13</f>
        <v>165840</v>
      </c>
      <c r="Q13" s="18">
        <f t="shared" si="0"/>
        <v>171840</v>
      </c>
      <c r="R13" s="18">
        <f t="shared" si="0"/>
        <v>177720</v>
      </c>
      <c r="S13" s="19"/>
    </row>
    <row r="14" spans="1:19" s="10" customFormat="1" ht="18.75" customHeight="1">
      <c r="A14" s="39"/>
      <c r="B14" s="78" t="s">
        <v>20</v>
      </c>
      <c r="C14" s="40"/>
      <c r="D14" s="39"/>
      <c r="E14" s="55"/>
      <c r="F14" s="41"/>
      <c r="G14" s="81"/>
      <c r="H14" s="81"/>
      <c r="I14" s="81"/>
      <c r="J14" s="55"/>
      <c r="K14" s="55"/>
      <c r="L14" s="55"/>
      <c r="M14" s="79"/>
      <c r="N14" s="41"/>
      <c r="O14" s="41"/>
      <c r="P14" s="41"/>
      <c r="Q14" s="41"/>
      <c r="R14" s="41"/>
      <c r="S14" s="42"/>
    </row>
    <row r="15" spans="1:19" s="10" customFormat="1" ht="21" customHeight="1">
      <c r="A15" s="14">
        <v>7</v>
      </c>
      <c r="B15" s="15" t="s">
        <v>46</v>
      </c>
      <c r="C15" s="16" t="s">
        <v>62</v>
      </c>
      <c r="D15" s="16" t="s">
        <v>9</v>
      </c>
      <c r="E15" s="16" t="s">
        <v>9</v>
      </c>
      <c r="F15" s="18">
        <f>17520*12</f>
        <v>210240</v>
      </c>
      <c r="G15" s="80">
        <v>1</v>
      </c>
      <c r="H15" s="80">
        <v>1</v>
      </c>
      <c r="I15" s="80">
        <v>1</v>
      </c>
      <c r="J15" s="17" t="s">
        <v>1</v>
      </c>
      <c r="K15" s="17" t="s">
        <v>1</v>
      </c>
      <c r="L15" s="17" t="s">
        <v>1</v>
      </c>
      <c r="M15" s="18">
        <f>700*12</f>
        <v>8400</v>
      </c>
      <c r="N15" s="18">
        <f>730*12</f>
        <v>8760</v>
      </c>
      <c r="O15" s="18">
        <f>758*12</f>
        <v>9096</v>
      </c>
      <c r="P15" s="18">
        <f>F15+M15</f>
        <v>218640</v>
      </c>
      <c r="Q15" s="18">
        <f aca="true" t="shared" si="1" ref="Q15:R18">P15+N15</f>
        <v>227400</v>
      </c>
      <c r="R15" s="18">
        <f t="shared" si="1"/>
        <v>236496</v>
      </c>
      <c r="S15" s="19"/>
    </row>
    <row r="16" spans="1:19" s="10" customFormat="1" ht="22.5">
      <c r="A16" s="14">
        <v>8</v>
      </c>
      <c r="B16" s="15" t="s">
        <v>39</v>
      </c>
      <c r="C16" s="16" t="s">
        <v>63</v>
      </c>
      <c r="D16" s="16" t="s">
        <v>9</v>
      </c>
      <c r="E16" s="16" t="s">
        <v>9</v>
      </c>
      <c r="F16" s="18">
        <f>9400*12</f>
        <v>112800</v>
      </c>
      <c r="G16" s="80">
        <v>1</v>
      </c>
      <c r="H16" s="80">
        <v>1</v>
      </c>
      <c r="I16" s="80">
        <v>1</v>
      </c>
      <c r="J16" s="17" t="s">
        <v>1</v>
      </c>
      <c r="K16" s="17" t="s">
        <v>1</v>
      </c>
      <c r="L16" s="17" t="s">
        <v>1</v>
      </c>
      <c r="M16" s="18">
        <f>380*12</f>
        <v>4560</v>
      </c>
      <c r="N16" s="18">
        <f>400*12</f>
        <v>4800</v>
      </c>
      <c r="O16" s="18">
        <f>410*12</f>
        <v>4920</v>
      </c>
      <c r="P16" s="18">
        <f>F16+M16</f>
        <v>117360</v>
      </c>
      <c r="Q16" s="18">
        <f t="shared" si="1"/>
        <v>122160</v>
      </c>
      <c r="R16" s="18">
        <f t="shared" si="1"/>
        <v>127080</v>
      </c>
      <c r="S16" s="19"/>
    </row>
    <row r="17" spans="1:19" s="10" customFormat="1" ht="22.5">
      <c r="A17" s="153">
        <v>9</v>
      </c>
      <c r="B17" s="154" t="s">
        <v>91</v>
      </c>
      <c r="C17" s="155" t="s">
        <v>64</v>
      </c>
      <c r="D17" s="155" t="s">
        <v>9</v>
      </c>
      <c r="E17" s="142" t="s">
        <v>1</v>
      </c>
      <c r="F17" s="156">
        <v>0</v>
      </c>
      <c r="G17" s="171">
        <v>1</v>
      </c>
      <c r="H17" s="171">
        <v>1</v>
      </c>
      <c r="I17" s="171">
        <v>1</v>
      </c>
      <c r="J17" s="172" t="s">
        <v>83</v>
      </c>
      <c r="K17" s="157" t="s">
        <v>1</v>
      </c>
      <c r="L17" s="157" t="s">
        <v>1</v>
      </c>
      <c r="M17" s="144">
        <f>9400*12</f>
        <v>112800</v>
      </c>
      <c r="N17" s="144">
        <f>400*12</f>
        <v>4800</v>
      </c>
      <c r="O17" s="144">
        <f>410*12</f>
        <v>4920</v>
      </c>
      <c r="P17" s="144">
        <f>F17+M17</f>
        <v>112800</v>
      </c>
      <c r="Q17" s="144">
        <f t="shared" si="1"/>
        <v>117600</v>
      </c>
      <c r="R17" s="144">
        <f t="shared" si="1"/>
        <v>122520</v>
      </c>
      <c r="S17" s="169" t="s">
        <v>92</v>
      </c>
    </row>
    <row r="18" spans="1:19" s="10" customFormat="1" ht="22.5" customHeight="1">
      <c r="A18" s="71">
        <v>10</v>
      </c>
      <c r="B18" s="72" t="s">
        <v>65</v>
      </c>
      <c r="C18" s="73" t="s">
        <v>64</v>
      </c>
      <c r="D18" s="73" t="s">
        <v>9</v>
      </c>
      <c r="E18" s="73" t="s">
        <v>9</v>
      </c>
      <c r="F18" s="173">
        <f>9730*12</f>
        <v>116760</v>
      </c>
      <c r="G18" s="174">
        <v>1</v>
      </c>
      <c r="H18" s="174">
        <v>1</v>
      </c>
      <c r="I18" s="174">
        <v>1</v>
      </c>
      <c r="J18" s="175" t="s">
        <v>1</v>
      </c>
      <c r="K18" s="175" t="s">
        <v>1</v>
      </c>
      <c r="L18" s="74" t="s">
        <v>1</v>
      </c>
      <c r="M18" s="18">
        <f>390*12</f>
        <v>4680</v>
      </c>
      <c r="N18" s="18">
        <f>410*12</f>
        <v>4920</v>
      </c>
      <c r="O18" s="18">
        <f>430*12</f>
        <v>5160</v>
      </c>
      <c r="P18" s="18">
        <f>F18+M18</f>
        <v>121440</v>
      </c>
      <c r="Q18" s="18">
        <f t="shared" si="1"/>
        <v>126360</v>
      </c>
      <c r="R18" s="18">
        <f t="shared" si="1"/>
        <v>131520</v>
      </c>
      <c r="S18" s="75"/>
    </row>
    <row r="19" spans="1:19" s="10" customFormat="1" ht="22.5" customHeight="1">
      <c r="A19" s="14"/>
      <c r="B19" s="20" t="s">
        <v>21</v>
      </c>
      <c r="C19" s="16"/>
      <c r="D19" s="14"/>
      <c r="E19" s="17"/>
      <c r="F19" s="18"/>
      <c r="G19" s="80"/>
      <c r="H19" s="80"/>
      <c r="I19" s="80"/>
      <c r="J19" s="17"/>
      <c r="K19" s="17"/>
      <c r="L19" s="17"/>
      <c r="M19" s="18"/>
      <c r="N19" s="18"/>
      <c r="O19" s="18"/>
      <c r="P19" s="18"/>
      <c r="Q19" s="18"/>
      <c r="R19" s="18"/>
      <c r="S19" s="19"/>
    </row>
    <row r="20" spans="1:19" s="10" customFormat="1" ht="22.5" customHeight="1">
      <c r="A20" s="33">
        <v>11</v>
      </c>
      <c r="B20" s="34" t="s">
        <v>60</v>
      </c>
      <c r="C20" s="35" t="s">
        <v>66</v>
      </c>
      <c r="D20" s="33">
        <v>3</v>
      </c>
      <c r="E20" s="36">
        <v>3</v>
      </c>
      <c r="F20" s="37">
        <f>(9000*3)*12</f>
        <v>324000</v>
      </c>
      <c r="G20" s="82">
        <v>3</v>
      </c>
      <c r="H20" s="82">
        <v>3</v>
      </c>
      <c r="I20" s="82">
        <v>3</v>
      </c>
      <c r="J20" s="36" t="s">
        <v>1</v>
      </c>
      <c r="K20" s="36" t="s">
        <v>1</v>
      </c>
      <c r="L20" s="36" t="s">
        <v>1</v>
      </c>
      <c r="M20" s="37">
        <f aca="true" t="shared" si="2" ref="M20:R20">(9000*3)*12</f>
        <v>324000</v>
      </c>
      <c r="N20" s="37">
        <f t="shared" si="2"/>
        <v>324000</v>
      </c>
      <c r="O20" s="37">
        <f t="shared" si="2"/>
        <v>324000</v>
      </c>
      <c r="P20" s="37">
        <f t="shared" si="2"/>
        <v>324000</v>
      </c>
      <c r="Q20" s="37">
        <f t="shared" si="2"/>
        <v>324000</v>
      </c>
      <c r="R20" s="37">
        <f t="shared" si="2"/>
        <v>324000</v>
      </c>
      <c r="S20" s="38"/>
    </row>
    <row r="21" spans="1:19" s="10" customFormat="1" ht="22.5" customHeight="1">
      <c r="A21" s="22">
        <v>12</v>
      </c>
      <c r="B21" s="23" t="s">
        <v>61</v>
      </c>
      <c r="C21" s="24" t="s">
        <v>66</v>
      </c>
      <c r="D21" s="22">
        <v>2</v>
      </c>
      <c r="E21" s="25">
        <v>2</v>
      </c>
      <c r="F21" s="26">
        <f>(9000*2)*12</f>
        <v>216000</v>
      </c>
      <c r="G21" s="83">
        <v>2</v>
      </c>
      <c r="H21" s="83">
        <v>2</v>
      </c>
      <c r="I21" s="83">
        <v>2</v>
      </c>
      <c r="J21" s="25" t="s">
        <v>1</v>
      </c>
      <c r="K21" s="25" t="s">
        <v>1</v>
      </c>
      <c r="L21" s="25" t="s">
        <v>1</v>
      </c>
      <c r="M21" s="26">
        <f aca="true" t="shared" si="3" ref="M21:R21">(9000*2)*12</f>
        <v>216000</v>
      </c>
      <c r="N21" s="26">
        <f t="shared" si="3"/>
        <v>216000</v>
      </c>
      <c r="O21" s="26">
        <f t="shared" si="3"/>
        <v>216000</v>
      </c>
      <c r="P21" s="26">
        <f t="shared" si="3"/>
        <v>216000</v>
      </c>
      <c r="Q21" s="26">
        <f t="shared" si="3"/>
        <v>216000</v>
      </c>
      <c r="R21" s="26">
        <f t="shared" si="3"/>
        <v>216000</v>
      </c>
      <c r="S21" s="27"/>
    </row>
    <row r="22" spans="1:19" s="10" customFormat="1" ht="18.75" customHeight="1">
      <c r="A22" s="136"/>
      <c r="B22" s="137" t="s">
        <v>85</v>
      </c>
      <c r="C22" s="123"/>
      <c r="D22" s="124"/>
      <c r="E22" s="124"/>
      <c r="F22" s="124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6"/>
    </row>
    <row r="23" spans="1:19" s="10" customFormat="1" ht="18.75" customHeight="1">
      <c r="A23" s="14">
        <v>13</v>
      </c>
      <c r="B23" s="70" t="s">
        <v>73</v>
      </c>
      <c r="C23" s="16" t="s">
        <v>72</v>
      </c>
      <c r="D23" s="14">
        <v>1</v>
      </c>
      <c r="E23" s="17">
        <v>1</v>
      </c>
      <c r="F23" s="18">
        <f>(26460+3500)*12</f>
        <v>359520</v>
      </c>
      <c r="G23" s="80">
        <v>1</v>
      </c>
      <c r="H23" s="80">
        <v>1</v>
      </c>
      <c r="I23" s="80">
        <v>1</v>
      </c>
      <c r="J23" s="17" t="s">
        <v>1</v>
      </c>
      <c r="K23" s="17" t="s">
        <v>1</v>
      </c>
      <c r="L23" s="17" t="s">
        <v>1</v>
      </c>
      <c r="M23" s="18">
        <f>(27480-26460)*12</f>
        <v>12240</v>
      </c>
      <c r="N23" s="18">
        <f>(28560-27480)*12</f>
        <v>12960</v>
      </c>
      <c r="O23" s="18">
        <f>(29680-28560)*12</f>
        <v>13440</v>
      </c>
      <c r="P23" s="18">
        <f>F23+M23</f>
        <v>371760</v>
      </c>
      <c r="Q23" s="18">
        <f>P23+N23</f>
        <v>384720</v>
      </c>
      <c r="R23" s="18">
        <f>Q23+O23</f>
        <v>398160</v>
      </c>
      <c r="S23" s="19"/>
    </row>
    <row r="24" spans="1:19" s="10" customFormat="1" ht="18.75" customHeight="1">
      <c r="A24" s="158">
        <v>14</v>
      </c>
      <c r="B24" s="159" t="s">
        <v>69</v>
      </c>
      <c r="C24" s="160" t="s">
        <v>43</v>
      </c>
      <c r="D24" s="158">
        <v>1</v>
      </c>
      <c r="E24" s="161" t="s">
        <v>1</v>
      </c>
      <c r="F24" s="162" t="s">
        <v>1</v>
      </c>
      <c r="G24" s="163">
        <v>1</v>
      </c>
      <c r="H24" s="163">
        <v>1</v>
      </c>
      <c r="I24" s="163">
        <v>1</v>
      </c>
      <c r="J24" s="164" t="s">
        <v>83</v>
      </c>
      <c r="K24" s="161" t="s">
        <v>1</v>
      </c>
      <c r="L24" s="161" t="s">
        <v>1</v>
      </c>
      <c r="M24" s="162">
        <f>((7140+33310)/2)*12</f>
        <v>242700</v>
      </c>
      <c r="N24" s="162">
        <v>8580</v>
      </c>
      <c r="O24" s="162">
        <v>8580</v>
      </c>
      <c r="P24" s="162">
        <f>M24</f>
        <v>242700</v>
      </c>
      <c r="Q24" s="162">
        <f>P24+N24</f>
        <v>251280</v>
      </c>
      <c r="R24" s="162">
        <f>Q24+O24</f>
        <v>259860</v>
      </c>
      <c r="S24" s="170" t="s">
        <v>92</v>
      </c>
    </row>
    <row r="25" spans="1:19" s="10" customFormat="1" ht="18.75" customHeight="1">
      <c r="A25" s="62"/>
      <c r="B25" s="64"/>
      <c r="C25" s="63"/>
      <c r="D25" s="63"/>
      <c r="E25" s="63"/>
      <c r="F25" s="65"/>
      <c r="G25" s="66"/>
      <c r="H25" s="66"/>
      <c r="I25" s="66"/>
      <c r="J25" s="67"/>
      <c r="K25" s="67"/>
      <c r="L25" s="67"/>
      <c r="M25" s="65"/>
      <c r="N25" s="65"/>
      <c r="O25" s="65"/>
      <c r="P25" s="65"/>
      <c r="Q25" s="65"/>
      <c r="R25" s="65"/>
      <c r="S25" s="68"/>
    </row>
    <row r="26" spans="1:19" s="10" customFormat="1" ht="18.75" customHeight="1">
      <c r="A26" s="62"/>
      <c r="B26" s="64"/>
      <c r="C26" s="63"/>
      <c r="D26" s="63"/>
      <c r="E26" s="63"/>
      <c r="F26" s="65"/>
      <c r="G26" s="66"/>
      <c r="H26" s="66"/>
      <c r="I26" s="66"/>
      <c r="J26" s="67"/>
      <c r="K26" s="67"/>
      <c r="L26" s="67"/>
      <c r="M26" s="65"/>
      <c r="N26" s="65"/>
      <c r="O26" s="65"/>
      <c r="P26" s="65"/>
      <c r="Q26" s="65"/>
      <c r="R26" s="65"/>
      <c r="S26" s="68"/>
    </row>
    <row r="27" spans="1:20" s="10" customFormat="1" ht="18" customHeight="1">
      <c r="A27" s="178" t="s">
        <v>102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61"/>
    </row>
    <row r="28" spans="1:19" s="9" customFormat="1" ht="22.5">
      <c r="A28" s="191" t="s">
        <v>2</v>
      </c>
      <c r="B28" s="191" t="s">
        <v>3</v>
      </c>
      <c r="C28" s="125"/>
      <c r="D28" s="126" t="s">
        <v>12</v>
      </c>
      <c r="E28" s="182" t="s">
        <v>18</v>
      </c>
      <c r="F28" s="184"/>
      <c r="G28" s="201" t="s">
        <v>13</v>
      </c>
      <c r="H28" s="202"/>
      <c r="I28" s="203"/>
      <c r="J28" s="204" t="s">
        <v>17</v>
      </c>
      <c r="K28" s="205"/>
      <c r="L28" s="206"/>
      <c r="M28" s="182" t="s">
        <v>40</v>
      </c>
      <c r="N28" s="183"/>
      <c r="O28" s="184"/>
      <c r="P28" s="182" t="s">
        <v>41</v>
      </c>
      <c r="Q28" s="183"/>
      <c r="R28" s="184"/>
      <c r="S28" s="191" t="s">
        <v>0</v>
      </c>
    </row>
    <row r="29" spans="1:19" s="9" customFormat="1" ht="22.5">
      <c r="A29" s="191"/>
      <c r="B29" s="191"/>
      <c r="C29" s="127" t="s">
        <v>30</v>
      </c>
      <c r="D29" s="128" t="s">
        <v>4</v>
      </c>
      <c r="E29" s="185"/>
      <c r="F29" s="187"/>
      <c r="G29" s="192" t="s">
        <v>14</v>
      </c>
      <c r="H29" s="193"/>
      <c r="I29" s="194"/>
      <c r="J29" s="195" t="s">
        <v>16</v>
      </c>
      <c r="K29" s="196"/>
      <c r="L29" s="197"/>
      <c r="M29" s="185"/>
      <c r="N29" s="186"/>
      <c r="O29" s="187"/>
      <c r="P29" s="185"/>
      <c r="Q29" s="186"/>
      <c r="R29" s="187"/>
      <c r="S29" s="191"/>
    </row>
    <row r="30" spans="1:19" s="9" customFormat="1" ht="22.5">
      <c r="A30" s="191"/>
      <c r="B30" s="191"/>
      <c r="C30" s="127" t="s">
        <v>22</v>
      </c>
      <c r="D30" s="128" t="s">
        <v>5</v>
      </c>
      <c r="E30" s="188"/>
      <c r="F30" s="190"/>
      <c r="G30" s="198" t="s">
        <v>15</v>
      </c>
      <c r="H30" s="199"/>
      <c r="I30" s="200"/>
      <c r="J30" s="129"/>
      <c r="K30" s="130"/>
      <c r="L30" s="131"/>
      <c r="M30" s="188"/>
      <c r="N30" s="189"/>
      <c r="O30" s="190"/>
      <c r="P30" s="188"/>
      <c r="Q30" s="189"/>
      <c r="R30" s="190"/>
      <c r="S30" s="191"/>
    </row>
    <row r="31" spans="1:19" s="9" customFormat="1" ht="22.5">
      <c r="A31" s="191"/>
      <c r="B31" s="191"/>
      <c r="C31" s="132"/>
      <c r="D31" s="133" t="s">
        <v>12</v>
      </c>
      <c r="E31" s="134" t="s">
        <v>31</v>
      </c>
      <c r="F31" s="134" t="s">
        <v>42</v>
      </c>
      <c r="G31" s="135" t="s">
        <v>23</v>
      </c>
      <c r="H31" s="135" t="s">
        <v>24</v>
      </c>
      <c r="I31" s="135" t="s">
        <v>25</v>
      </c>
      <c r="J31" s="135" t="s">
        <v>23</v>
      </c>
      <c r="K31" s="135" t="s">
        <v>24</v>
      </c>
      <c r="L31" s="135" t="s">
        <v>25</v>
      </c>
      <c r="M31" s="135" t="s">
        <v>23</v>
      </c>
      <c r="N31" s="135" t="s">
        <v>24</v>
      </c>
      <c r="O31" s="135" t="s">
        <v>25</v>
      </c>
      <c r="P31" s="135" t="s">
        <v>23</v>
      </c>
      <c r="Q31" s="135" t="s">
        <v>24</v>
      </c>
      <c r="R31" s="135" t="s">
        <v>25</v>
      </c>
      <c r="S31" s="191"/>
    </row>
    <row r="32" spans="1:19" s="10" customFormat="1" ht="22.5">
      <c r="A32" s="33">
        <v>15</v>
      </c>
      <c r="B32" s="34" t="s">
        <v>48</v>
      </c>
      <c r="C32" s="35" t="s">
        <v>57</v>
      </c>
      <c r="D32" s="33">
        <v>1</v>
      </c>
      <c r="E32" s="36">
        <v>1</v>
      </c>
      <c r="F32" s="37">
        <f>14060*12</f>
        <v>168720</v>
      </c>
      <c r="G32" s="80">
        <v>1</v>
      </c>
      <c r="H32" s="80">
        <v>1</v>
      </c>
      <c r="I32" s="80">
        <v>1</v>
      </c>
      <c r="J32" s="17" t="s">
        <v>1</v>
      </c>
      <c r="K32" s="17" t="s">
        <v>1</v>
      </c>
      <c r="L32" s="17" t="s">
        <v>1</v>
      </c>
      <c r="M32" s="18">
        <f>(14560-14060)*12</f>
        <v>6000</v>
      </c>
      <c r="N32" s="18">
        <f>(15060-14560)*12</f>
        <v>6000</v>
      </c>
      <c r="O32" s="18">
        <f>(15540-15060)*12</f>
        <v>5760</v>
      </c>
      <c r="P32" s="18">
        <f>F32+M32</f>
        <v>174720</v>
      </c>
      <c r="Q32" s="18">
        <f>F32+N32</f>
        <v>174720</v>
      </c>
      <c r="R32" s="18">
        <f>F32+O32</f>
        <v>174480</v>
      </c>
      <c r="S32" s="38"/>
    </row>
    <row r="33" spans="1:19" s="10" customFormat="1" ht="21.75" customHeight="1">
      <c r="A33" s="14">
        <v>16</v>
      </c>
      <c r="B33" s="15" t="s">
        <v>6</v>
      </c>
      <c r="C33" s="16" t="s">
        <v>44</v>
      </c>
      <c r="D33" s="14">
        <v>1</v>
      </c>
      <c r="E33" s="17" t="s">
        <v>1</v>
      </c>
      <c r="F33" s="18" t="s">
        <v>1</v>
      </c>
      <c r="G33" s="171">
        <v>1</v>
      </c>
      <c r="H33" s="171">
        <v>1</v>
      </c>
      <c r="I33" s="171">
        <v>1</v>
      </c>
      <c r="J33" s="172" t="s">
        <v>83</v>
      </c>
      <c r="K33" s="17" t="s">
        <v>1</v>
      </c>
      <c r="L33" s="17" t="s">
        <v>1</v>
      </c>
      <c r="M33" s="18">
        <f>((5810+27350)/2)*12</f>
        <v>198960</v>
      </c>
      <c r="N33" s="18">
        <v>7080</v>
      </c>
      <c r="O33" s="18">
        <v>7080</v>
      </c>
      <c r="P33" s="18">
        <f>M33</f>
        <v>198960</v>
      </c>
      <c r="Q33" s="18">
        <f>P33+N33</f>
        <v>206040</v>
      </c>
      <c r="R33" s="18">
        <f>Q33+O33</f>
        <v>213120</v>
      </c>
      <c r="S33" s="168" t="s">
        <v>92</v>
      </c>
    </row>
    <row r="34" spans="1:19" s="10" customFormat="1" ht="19.5" customHeight="1">
      <c r="A34" s="39"/>
      <c r="B34" s="78" t="s">
        <v>20</v>
      </c>
      <c r="C34" s="40"/>
      <c r="D34" s="39"/>
      <c r="E34" s="55"/>
      <c r="F34" s="41"/>
      <c r="G34" s="81"/>
      <c r="H34" s="81"/>
      <c r="I34" s="81"/>
      <c r="J34" s="55"/>
      <c r="K34" s="55"/>
      <c r="L34" s="55"/>
      <c r="M34" s="79"/>
      <c r="N34" s="41"/>
      <c r="O34" s="41"/>
      <c r="P34" s="41"/>
      <c r="Q34" s="41"/>
      <c r="R34" s="41"/>
      <c r="S34" s="42"/>
    </row>
    <row r="35" spans="1:19" s="10" customFormat="1" ht="22.5">
      <c r="A35" s="14">
        <v>17</v>
      </c>
      <c r="B35" s="15" t="s">
        <v>67</v>
      </c>
      <c r="C35" s="16" t="s">
        <v>62</v>
      </c>
      <c r="D35" s="16" t="s">
        <v>9</v>
      </c>
      <c r="E35" s="16" t="s">
        <v>9</v>
      </c>
      <c r="F35" s="18">
        <f>15000*12</f>
        <v>180000</v>
      </c>
      <c r="G35" s="80">
        <v>1</v>
      </c>
      <c r="H35" s="80">
        <v>1</v>
      </c>
      <c r="I35" s="80">
        <v>1</v>
      </c>
      <c r="J35" s="17" t="s">
        <v>1</v>
      </c>
      <c r="K35" s="17" t="s">
        <v>1</v>
      </c>
      <c r="L35" s="17" t="s">
        <v>1</v>
      </c>
      <c r="M35" s="18">
        <f>600*12</f>
        <v>7200</v>
      </c>
      <c r="N35" s="18">
        <f>630*12</f>
        <v>7560</v>
      </c>
      <c r="O35" s="18">
        <f>650*12</f>
        <v>7800</v>
      </c>
      <c r="P35" s="18">
        <f>F35+M35</f>
        <v>187200</v>
      </c>
      <c r="Q35" s="18">
        <f>P35+N35</f>
        <v>194760</v>
      </c>
      <c r="R35" s="18">
        <f>Q35+O35</f>
        <v>202560</v>
      </c>
      <c r="S35" s="19"/>
    </row>
    <row r="36" spans="1:19" s="10" customFormat="1" ht="22.5">
      <c r="A36" s="33">
        <v>18</v>
      </c>
      <c r="B36" s="34" t="s">
        <v>68</v>
      </c>
      <c r="C36" s="35" t="s">
        <v>63</v>
      </c>
      <c r="D36" s="35" t="s">
        <v>9</v>
      </c>
      <c r="E36" s="35" t="s">
        <v>9</v>
      </c>
      <c r="F36" s="37">
        <f>9550*12</f>
        <v>114600</v>
      </c>
      <c r="G36" s="82">
        <v>1</v>
      </c>
      <c r="H36" s="82">
        <v>1</v>
      </c>
      <c r="I36" s="82">
        <v>1</v>
      </c>
      <c r="J36" s="36" t="s">
        <v>1</v>
      </c>
      <c r="K36" s="36" t="s">
        <v>1</v>
      </c>
      <c r="L36" s="36" t="s">
        <v>1</v>
      </c>
      <c r="M36" s="37">
        <f>390*12</f>
        <v>4680</v>
      </c>
      <c r="N36" s="37">
        <f>400*12</f>
        <v>4800</v>
      </c>
      <c r="O36" s="37">
        <f>420*12</f>
        <v>5040</v>
      </c>
      <c r="P36" s="37">
        <f>F36+M36</f>
        <v>119280</v>
      </c>
      <c r="Q36" s="37">
        <f>P36+N36</f>
        <v>124080</v>
      </c>
      <c r="R36" s="37">
        <f>Q36+O36</f>
        <v>129120</v>
      </c>
      <c r="S36" s="38"/>
    </row>
    <row r="37" spans="1:19" s="9" customFormat="1" ht="22.5">
      <c r="A37" s="111"/>
      <c r="B37" s="112" t="s">
        <v>86</v>
      </c>
      <c r="C37" s="113"/>
      <c r="D37" s="114"/>
      <c r="E37" s="114"/>
      <c r="F37" s="114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1"/>
    </row>
    <row r="38" spans="1:19" s="10" customFormat="1" ht="18" customHeight="1">
      <c r="A38" s="14">
        <v>19</v>
      </c>
      <c r="B38" s="15" t="s">
        <v>74</v>
      </c>
      <c r="C38" s="16" t="s">
        <v>72</v>
      </c>
      <c r="D38" s="14">
        <v>1</v>
      </c>
      <c r="E38" s="17">
        <v>1</v>
      </c>
      <c r="F38" s="18">
        <f>(25470+3500)*12</f>
        <v>347640</v>
      </c>
      <c r="G38" s="80">
        <v>1</v>
      </c>
      <c r="H38" s="80">
        <v>1</v>
      </c>
      <c r="I38" s="80">
        <v>1</v>
      </c>
      <c r="J38" s="17" t="s">
        <v>1</v>
      </c>
      <c r="K38" s="17" t="s">
        <v>1</v>
      </c>
      <c r="L38" s="17" t="s">
        <v>1</v>
      </c>
      <c r="M38" s="18">
        <f>(26460-25470)*12</f>
        <v>11880</v>
      </c>
      <c r="N38" s="18">
        <f>(27480-26460)*12</f>
        <v>12240</v>
      </c>
      <c r="O38" s="18">
        <f>(28560-27480)*12</f>
        <v>12960</v>
      </c>
      <c r="P38" s="18">
        <f>F38+M38</f>
        <v>359520</v>
      </c>
      <c r="Q38" s="18">
        <f>P38+N38</f>
        <v>371760</v>
      </c>
      <c r="R38" s="18">
        <f>Q38+O38</f>
        <v>384720</v>
      </c>
      <c r="S38" s="19"/>
    </row>
    <row r="39" spans="1:19" s="10" customFormat="1" ht="20.25" customHeight="1">
      <c r="A39" s="139">
        <v>20</v>
      </c>
      <c r="B39" s="140" t="s">
        <v>54</v>
      </c>
      <c r="C39" s="141" t="s">
        <v>44</v>
      </c>
      <c r="D39" s="139">
        <v>1</v>
      </c>
      <c r="E39" s="142" t="s">
        <v>1</v>
      </c>
      <c r="F39" s="143">
        <v>0</v>
      </c>
      <c r="G39" s="171">
        <v>1</v>
      </c>
      <c r="H39" s="171">
        <v>1</v>
      </c>
      <c r="I39" s="171">
        <v>1</v>
      </c>
      <c r="J39" s="172" t="s">
        <v>83</v>
      </c>
      <c r="K39" s="142" t="s">
        <v>1</v>
      </c>
      <c r="L39" s="142" t="s">
        <v>1</v>
      </c>
      <c r="M39" s="144">
        <f>((5810+27350)/2)*12</f>
        <v>198960</v>
      </c>
      <c r="N39" s="144">
        <v>7080</v>
      </c>
      <c r="O39" s="144">
        <v>7080</v>
      </c>
      <c r="P39" s="144">
        <f>M39</f>
        <v>198960</v>
      </c>
      <c r="Q39" s="144">
        <f>P39+N39</f>
        <v>206040</v>
      </c>
      <c r="R39" s="144">
        <f>Q39+O39</f>
        <v>213120</v>
      </c>
      <c r="S39" s="168" t="s">
        <v>92</v>
      </c>
    </row>
    <row r="40" spans="1:19" s="10" customFormat="1" ht="22.5">
      <c r="A40" s="39"/>
      <c r="B40" s="78" t="s">
        <v>20</v>
      </c>
      <c r="C40" s="40"/>
      <c r="D40" s="39"/>
      <c r="E40" s="55"/>
      <c r="F40" s="41"/>
      <c r="G40" s="81"/>
      <c r="H40" s="81"/>
      <c r="I40" s="81"/>
      <c r="J40" s="55"/>
      <c r="K40" s="55"/>
      <c r="L40" s="55"/>
      <c r="M40" s="79"/>
      <c r="N40" s="41"/>
      <c r="O40" s="41"/>
      <c r="P40" s="41"/>
      <c r="Q40" s="41"/>
      <c r="R40" s="41"/>
      <c r="S40" s="42"/>
    </row>
    <row r="41" spans="1:19" s="10" customFormat="1" ht="19.5" customHeight="1">
      <c r="A41" s="14">
        <v>21</v>
      </c>
      <c r="B41" s="15" t="s">
        <v>52</v>
      </c>
      <c r="C41" s="16" t="s">
        <v>63</v>
      </c>
      <c r="D41" s="16" t="s">
        <v>9</v>
      </c>
      <c r="E41" s="16" t="s">
        <v>9</v>
      </c>
      <c r="F41" s="18">
        <f>9550*12</f>
        <v>114600</v>
      </c>
      <c r="G41" s="80">
        <v>1</v>
      </c>
      <c r="H41" s="80">
        <v>1</v>
      </c>
      <c r="I41" s="80">
        <v>1</v>
      </c>
      <c r="J41" s="17" t="s">
        <v>1</v>
      </c>
      <c r="K41" s="17" t="s">
        <v>1</v>
      </c>
      <c r="L41" s="17" t="s">
        <v>1</v>
      </c>
      <c r="M41" s="18">
        <f>390*12</f>
        <v>4680</v>
      </c>
      <c r="N41" s="18">
        <f>400*12</f>
        <v>4800</v>
      </c>
      <c r="O41" s="18">
        <f>420*12</f>
        <v>5040</v>
      </c>
      <c r="P41" s="18">
        <f>F41+M41</f>
        <v>119280</v>
      </c>
      <c r="Q41" s="18">
        <f>P41+N41</f>
        <v>124080</v>
      </c>
      <c r="R41" s="18">
        <f>Q41+O41</f>
        <v>129120</v>
      </c>
      <c r="S41" s="19"/>
    </row>
    <row r="42" spans="1:19" s="10" customFormat="1" ht="18.75" customHeight="1">
      <c r="A42" s="14"/>
      <c r="B42" s="20" t="s">
        <v>21</v>
      </c>
      <c r="C42" s="16"/>
      <c r="D42" s="14"/>
      <c r="E42" s="17"/>
      <c r="F42" s="18"/>
      <c r="G42" s="80"/>
      <c r="H42" s="80"/>
      <c r="I42" s="80"/>
      <c r="J42" s="17"/>
      <c r="K42" s="17"/>
      <c r="L42" s="17"/>
      <c r="M42" s="18"/>
      <c r="N42" s="18"/>
      <c r="O42" s="18"/>
      <c r="P42" s="18"/>
      <c r="Q42" s="18"/>
      <c r="R42" s="18"/>
      <c r="S42" s="19"/>
    </row>
    <row r="43" spans="1:19" s="10" customFormat="1" ht="18.75" customHeight="1">
      <c r="A43" s="22">
        <v>22</v>
      </c>
      <c r="B43" s="23" t="s">
        <v>45</v>
      </c>
      <c r="C43" s="24" t="s">
        <v>66</v>
      </c>
      <c r="D43" s="22">
        <v>2</v>
      </c>
      <c r="E43" s="25">
        <v>2</v>
      </c>
      <c r="F43" s="26">
        <f>(9000*2)*12</f>
        <v>216000</v>
      </c>
      <c r="G43" s="83">
        <v>2</v>
      </c>
      <c r="H43" s="83">
        <v>2</v>
      </c>
      <c r="I43" s="83">
        <v>2</v>
      </c>
      <c r="J43" s="25" t="s">
        <v>1</v>
      </c>
      <c r="K43" s="25" t="s">
        <v>1</v>
      </c>
      <c r="L43" s="25" t="s">
        <v>1</v>
      </c>
      <c r="M43" s="26">
        <f aca="true" t="shared" si="4" ref="M43:R43">(9000*2)*12</f>
        <v>216000</v>
      </c>
      <c r="N43" s="26">
        <f t="shared" si="4"/>
        <v>216000</v>
      </c>
      <c r="O43" s="26">
        <f t="shared" si="4"/>
        <v>216000</v>
      </c>
      <c r="P43" s="26">
        <f t="shared" si="4"/>
        <v>216000</v>
      </c>
      <c r="Q43" s="26">
        <f t="shared" si="4"/>
        <v>216000</v>
      </c>
      <c r="R43" s="26">
        <f t="shared" si="4"/>
        <v>216000</v>
      </c>
      <c r="S43" s="27"/>
    </row>
    <row r="44" spans="1:19" s="10" customFormat="1" ht="18.75" customHeight="1">
      <c r="A44" s="105"/>
      <c r="B44" s="106" t="s">
        <v>78</v>
      </c>
      <c r="C44" s="107"/>
      <c r="D44" s="108"/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10"/>
    </row>
    <row r="45" spans="1:19" s="10" customFormat="1" ht="18.75" customHeight="1">
      <c r="A45" s="14">
        <v>23</v>
      </c>
      <c r="B45" s="76" t="s">
        <v>81</v>
      </c>
      <c r="C45" s="16" t="s">
        <v>7</v>
      </c>
      <c r="D45" s="14">
        <v>1</v>
      </c>
      <c r="E45" s="77">
        <v>1</v>
      </c>
      <c r="F45" s="18">
        <f>(3500*12)+(13160+33310)/2*12</f>
        <v>320820</v>
      </c>
      <c r="G45" s="80">
        <v>1</v>
      </c>
      <c r="H45" s="80">
        <v>1</v>
      </c>
      <c r="I45" s="80">
        <v>1</v>
      </c>
      <c r="J45" s="17" t="s">
        <v>1</v>
      </c>
      <c r="K45" s="17" t="s">
        <v>1</v>
      </c>
      <c r="L45" s="17" t="s">
        <v>1</v>
      </c>
      <c r="M45" s="18">
        <v>10740</v>
      </c>
      <c r="N45" s="18">
        <v>10740</v>
      </c>
      <c r="O45" s="18">
        <v>10740</v>
      </c>
      <c r="P45" s="18">
        <f>F45+M45</f>
        <v>331560</v>
      </c>
      <c r="Q45" s="18">
        <f>P45+N45</f>
        <v>342300</v>
      </c>
      <c r="R45" s="18">
        <f>Q45+O45</f>
        <v>353040</v>
      </c>
      <c r="S45" s="19"/>
    </row>
    <row r="46" spans="1:19" s="10" customFormat="1" ht="18.75" customHeight="1">
      <c r="A46" s="33">
        <v>24</v>
      </c>
      <c r="B46" s="34" t="s">
        <v>75</v>
      </c>
      <c r="C46" s="35" t="s">
        <v>76</v>
      </c>
      <c r="D46" s="33">
        <v>1</v>
      </c>
      <c r="E46" s="36">
        <v>1</v>
      </c>
      <c r="F46" s="37">
        <f>19200*12</f>
        <v>230400</v>
      </c>
      <c r="G46" s="82">
        <v>1</v>
      </c>
      <c r="H46" s="151">
        <v>1</v>
      </c>
      <c r="I46" s="151">
        <v>1</v>
      </c>
      <c r="J46" s="36" t="s">
        <v>1</v>
      </c>
      <c r="K46" s="152" t="s">
        <v>1</v>
      </c>
      <c r="L46" s="36" t="s">
        <v>1</v>
      </c>
      <c r="M46" s="37">
        <f>(19970-19200)*12</f>
        <v>9240</v>
      </c>
      <c r="N46" s="37">
        <f>(20780-19970)*12</f>
        <v>9720</v>
      </c>
      <c r="O46" s="37">
        <f>(21620-20780)*12</f>
        <v>10080</v>
      </c>
      <c r="P46" s="37">
        <f>F46+M46</f>
        <v>239640</v>
      </c>
      <c r="Q46" s="37">
        <f>P46+N46</f>
        <v>249360</v>
      </c>
      <c r="R46" s="37">
        <f>Q46+O46</f>
        <v>259440</v>
      </c>
      <c r="S46" s="38" t="s">
        <v>84</v>
      </c>
    </row>
    <row r="47" spans="1:19" s="10" customFormat="1" ht="18.75" customHeight="1">
      <c r="A47" s="14"/>
      <c r="B47" s="20" t="s">
        <v>20</v>
      </c>
      <c r="C47" s="16"/>
      <c r="D47" s="14"/>
      <c r="E47" s="17"/>
      <c r="F47" s="18"/>
      <c r="G47" s="80"/>
      <c r="H47" s="80"/>
      <c r="I47" s="80"/>
      <c r="J47" s="17"/>
      <c r="K47" s="17"/>
      <c r="L47" s="17"/>
      <c r="M47" s="21"/>
      <c r="N47" s="18"/>
      <c r="O47" s="18"/>
      <c r="P47" s="18"/>
      <c r="Q47" s="18"/>
      <c r="R47" s="18"/>
      <c r="S47" s="19"/>
    </row>
    <row r="48" spans="1:19" s="10" customFormat="1" ht="18.75" customHeight="1">
      <c r="A48" s="33">
        <v>25</v>
      </c>
      <c r="B48" s="34" t="s">
        <v>77</v>
      </c>
      <c r="C48" s="35" t="s">
        <v>62</v>
      </c>
      <c r="D48" s="35" t="s">
        <v>9</v>
      </c>
      <c r="E48" s="35" t="s">
        <v>9</v>
      </c>
      <c r="F48" s="37">
        <f>15000*12</f>
        <v>180000</v>
      </c>
      <c r="G48" s="82">
        <v>1</v>
      </c>
      <c r="H48" s="82">
        <v>1</v>
      </c>
      <c r="I48" s="82">
        <v>1</v>
      </c>
      <c r="J48" s="36" t="s">
        <v>1</v>
      </c>
      <c r="K48" s="36" t="s">
        <v>1</v>
      </c>
      <c r="L48" s="36" t="s">
        <v>1</v>
      </c>
      <c r="M48" s="37">
        <f>600*12</f>
        <v>7200</v>
      </c>
      <c r="N48" s="37">
        <f>630*12</f>
        <v>7560</v>
      </c>
      <c r="O48" s="37">
        <f>650*12</f>
        <v>7800</v>
      </c>
      <c r="P48" s="37">
        <f>F48+M48</f>
        <v>187200</v>
      </c>
      <c r="Q48" s="37">
        <f>P48+N48</f>
        <v>194760</v>
      </c>
      <c r="R48" s="37">
        <f>Q48+O48</f>
        <v>202560</v>
      </c>
      <c r="S48" s="38"/>
    </row>
    <row r="49" spans="1:19" s="10" customFormat="1" ht="18.75" customHeight="1">
      <c r="A49" s="97"/>
      <c r="B49" s="98" t="s">
        <v>47</v>
      </c>
      <c r="C49" s="99"/>
      <c r="D49" s="97"/>
      <c r="E49" s="100"/>
      <c r="F49" s="101"/>
      <c r="G49" s="102"/>
      <c r="H49" s="102"/>
      <c r="I49" s="102"/>
      <c r="J49" s="103"/>
      <c r="K49" s="100"/>
      <c r="L49" s="100"/>
      <c r="M49" s="101"/>
      <c r="N49" s="101"/>
      <c r="O49" s="101"/>
      <c r="P49" s="101"/>
      <c r="Q49" s="101"/>
      <c r="R49" s="101"/>
      <c r="S49" s="104"/>
    </row>
    <row r="50" spans="1:19" s="10" customFormat="1" ht="18.75" customHeight="1">
      <c r="A50" s="43">
        <v>26</v>
      </c>
      <c r="B50" s="76" t="s">
        <v>82</v>
      </c>
      <c r="C50" s="16" t="s">
        <v>7</v>
      </c>
      <c r="D50" s="14">
        <v>1</v>
      </c>
      <c r="E50" s="17">
        <v>1</v>
      </c>
      <c r="F50" s="18">
        <f>(3500*12)+(13160+33310)/2*12</f>
        <v>320820</v>
      </c>
      <c r="G50" s="80">
        <v>1</v>
      </c>
      <c r="H50" s="80">
        <v>1</v>
      </c>
      <c r="I50" s="80">
        <v>1</v>
      </c>
      <c r="J50" s="17" t="s">
        <v>1</v>
      </c>
      <c r="K50" s="17" t="s">
        <v>1</v>
      </c>
      <c r="L50" s="17" t="s">
        <v>1</v>
      </c>
      <c r="M50" s="18">
        <v>10740</v>
      </c>
      <c r="N50" s="18">
        <v>10740</v>
      </c>
      <c r="O50" s="18">
        <v>10740</v>
      </c>
      <c r="P50" s="18">
        <f>F50+M50</f>
        <v>331560</v>
      </c>
      <c r="Q50" s="18">
        <f>P50+N50</f>
        <v>342300</v>
      </c>
      <c r="R50" s="18">
        <f>Q50+O50</f>
        <v>353040</v>
      </c>
      <c r="S50" s="19"/>
    </row>
    <row r="51" spans="1:19" s="10" customFormat="1" ht="18.75" customHeight="1">
      <c r="A51" s="22">
        <v>27</v>
      </c>
      <c r="B51" s="23" t="s">
        <v>80</v>
      </c>
      <c r="C51" s="24" t="s">
        <v>76</v>
      </c>
      <c r="D51" s="22">
        <v>1</v>
      </c>
      <c r="E51" s="25">
        <v>1</v>
      </c>
      <c r="F51" s="26">
        <f>19200*12</f>
        <v>230400</v>
      </c>
      <c r="G51" s="83">
        <v>1</v>
      </c>
      <c r="H51" s="84">
        <v>1</v>
      </c>
      <c r="I51" s="84">
        <v>1</v>
      </c>
      <c r="J51" s="25" t="s">
        <v>1</v>
      </c>
      <c r="K51" s="25" t="s">
        <v>1</v>
      </c>
      <c r="L51" s="25" t="s">
        <v>1</v>
      </c>
      <c r="M51" s="26">
        <f>(19970-19200)*12</f>
        <v>9240</v>
      </c>
      <c r="N51" s="26">
        <f>(20780-19970)*12</f>
        <v>9720</v>
      </c>
      <c r="O51" s="26">
        <f>(21620-20780)*12</f>
        <v>10080</v>
      </c>
      <c r="P51" s="26">
        <f>F51+M51</f>
        <v>239640</v>
      </c>
      <c r="Q51" s="26">
        <f>P51+N51</f>
        <v>249360</v>
      </c>
      <c r="R51" s="26">
        <f>Q51+O51</f>
        <v>259440</v>
      </c>
      <c r="S51" s="27" t="s">
        <v>84</v>
      </c>
    </row>
    <row r="52" spans="1:19" s="10" customFormat="1" ht="18.75" customHeight="1">
      <c r="A52" s="62"/>
      <c r="B52" s="64"/>
      <c r="C52" s="63"/>
      <c r="D52" s="63"/>
      <c r="E52" s="63"/>
      <c r="F52" s="65"/>
      <c r="G52" s="66"/>
      <c r="H52" s="66"/>
      <c r="I52" s="66"/>
      <c r="J52" s="67"/>
      <c r="K52" s="67"/>
      <c r="L52" s="67"/>
      <c r="M52" s="65"/>
      <c r="N52" s="65"/>
      <c r="O52" s="65"/>
      <c r="P52" s="65"/>
      <c r="Q52" s="65"/>
      <c r="R52" s="65"/>
      <c r="S52" s="68"/>
    </row>
    <row r="53" spans="1:19" s="10" customFormat="1" ht="18.75" customHeight="1">
      <c r="A53" s="62"/>
      <c r="B53" s="64"/>
      <c r="C53" s="63"/>
      <c r="D53" s="63"/>
      <c r="E53" s="63"/>
      <c r="F53" s="65"/>
      <c r="G53" s="66"/>
      <c r="H53" s="66"/>
      <c r="I53" s="66"/>
      <c r="J53" s="67"/>
      <c r="K53" s="67"/>
      <c r="L53" s="67"/>
      <c r="M53" s="65"/>
      <c r="N53" s="65"/>
      <c r="O53" s="65"/>
      <c r="P53" s="65"/>
      <c r="Q53" s="65"/>
      <c r="R53" s="65"/>
      <c r="S53" s="68"/>
    </row>
    <row r="54" spans="1:19" s="10" customFormat="1" ht="18.75" customHeight="1">
      <c r="A54" s="178" t="s">
        <v>103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</row>
    <row r="55" spans="1:60" s="56" customFormat="1" ht="22.5">
      <c r="A55" s="191" t="s">
        <v>2</v>
      </c>
      <c r="B55" s="191" t="s">
        <v>3</v>
      </c>
      <c r="C55" s="125"/>
      <c r="D55" s="126" t="s">
        <v>12</v>
      </c>
      <c r="E55" s="182" t="s">
        <v>18</v>
      </c>
      <c r="F55" s="184"/>
      <c r="G55" s="201" t="s">
        <v>13</v>
      </c>
      <c r="H55" s="202"/>
      <c r="I55" s="203"/>
      <c r="J55" s="204" t="s">
        <v>17</v>
      </c>
      <c r="K55" s="205"/>
      <c r="L55" s="206"/>
      <c r="M55" s="182" t="s">
        <v>40</v>
      </c>
      <c r="N55" s="183"/>
      <c r="O55" s="184"/>
      <c r="P55" s="182" t="s">
        <v>41</v>
      </c>
      <c r="Q55" s="183"/>
      <c r="R55" s="184"/>
      <c r="S55" s="191" t="s">
        <v>0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</row>
    <row r="56" spans="1:19" s="9" customFormat="1" ht="22.5" customHeight="1">
      <c r="A56" s="191"/>
      <c r="B56" s="191"/>
      <c r="C56" s="127" t="s">
        <v>30</v>
      </c>
      <c r="D56" s="128" t="s">
        <v>4</v>
      </c>
      <c r="E56" s="185"/>
      <c r="F56" s="187"/>
      <c r="G56" s="192" t="s">
        <v>14</v>
      </c>
      <c r="H56" s="193"/>
      <c r="I56" s="194"/>
      <c r="J56" s="195" t="s">
        <v>16</v>
      </c>
      <c r="K56" s="196"/>
      <c r="L56" s="197"/>
      <c r="M56" s="185"/>
      <c r="N56" s="186"/>
      <c r="O56" s="187"/>
      <c r="P56" s="185"/>
      <c r="Q56" s="186"/>
      <c r="R56" s="187"/>
      <c r="S56" s="191"/>
    </row>
    <row r="57" spans="1:19" s="9" customFormat="1" ht="22.5" customHeight="1">
      <c r="A57" s="191"/>
      <c r="B57" s="191"/>
      <c r="C57" s="127" t="s">
        <v>22</v>
      </c>
      <c r="D57" s="128" t="s">
        <v>5</v>
      </c>
      <c r="E57" s="188"/>
      <c r="F57" s="190"/>
      <c r="G57" s="198" t="s">
        <v>15</v>
      </c>
      <c r="H57" s="199"/>
      <c r="I57" s="200"/>
      <c r="J57" s="129"/>
      <c r="K57" s="130"/>
      <c r="L57" s="131"/>
      <c r="M57" s="188"/>
      <c r="N57" s="189"/>
      <c r="O57" s="190"/>
      <c r="P57" s="188"/>
      <c r="Q57" s="189"/>
      <c r="R57" s="190"/>
      <c r="S57" s="191"/>
    </row>
    <row r="58" spans="1:19" s="9" customFormat="1" ht="22.5">
      <c r="A58" s="191"/>
      <c r="B58" s="191"/>
      <c r="C58" s="132"/>
      <c r="D58" s="133" t="s">
        <v>12</v>
      </c>
      <c r="E58" s="134" t="s">
        <v>31</v>
      </c>
      <c r="F58" s="134" t="s">
        <v>42</v>
      </c>
      <c r="G58" s="135" t="s">
        <v>23</v>
      </c>
      <c r="H58" s="135" t="s">
        <v>24</v>
      </c>
      <c r="I58" s="135" t="s">
        <v>25</v>
      </c>
      <c r="J58" s="135" t="s">
        <v>23</v>
      </c>
      <c r="K58" s="135" t="s">
        <v>24</v>
      </c>
      <c r="L58" s="135" t="s">
        <v>25</v>
      </c>
      <c r="M58" s="135" t="s">
        <v>23</v>
      </c>
      <c r="N58" s="135" t="s">
        <v>24</v>
      </c>
      <c r="O58" s="135" t="s">
        <v>25</v>
      </c>
      <c r="P58" s="135" t="s">
        <v>23</v>
      </c>
      <c r="Q58" s="135" t="s">
        <v>24</v>
      </c>
      <c r="R58" s="135" t="s">
        <v>25</v>
      </c>
      <c r="S58" s="191"/>
    </row>
    <row r="59" spans="1:19" s="9" customFormat="1" ht="22.5">
      <c r="A59" s="87"/>
      <c r="B59" s="88" t="s">
        <v>95</v>
      </c>
      <c r="C59" s="89"/>
      <c r="D59" s="90"/>
      <c r="E59" s="90"/>
      <c r="F59" s="90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87"/>
    </row>
    <row r="60" spans="1:19" s="9" customFormat="1" ht="22.5">
      <c r="A60" s="14">
        <v>28</v>
      </c>
      <c r="B60" s="15" t="s">
        <v>96</v>
      </c>
      <c r="C60" s="16" t="s">
        <v>93</v>
      </c>
      <c r="D60" s="14">
        <v>1</v>
      </c>
      <c r="E60" s="17">
        <v>1</v>
      </c>
      <c r="F60" s="54">
        <v>0</v>
      </c>
      <c r="G60" s="80">
        <v>1</v>
      </c>
      <c r="H60" s="80">
        <v>1</v>
      </c>
      <c r="I60" s="80">
        <v>1</v>
      </c>
      <c r="J60" s="17" t="s">
        <v>1</v>
      </c>
      <c r="K60" s="17" t="s">
        <v>1</v>
      </c>
      <c r="L60" s="17" t="s">
        <v>1</v>
      </c>
      <c r="M60" s="18">
        <v>0</v>
      </c>
      <c r="N60" s="18">
        <v>0</v>
      </c>
      <c r="O60" s="18">
        <v>0</v>
      </c>
      <c r="P60" s="18">
        <f>F60+M60</f>
        <v>0</v>
      </c>
      <c r="Q60" s="18">
        <f>F60+N60</f>
        <v>0</v>
      </c>
      <c r="R60" s="18">
        <f>F60+O60</f>
        <v>0</v>
      </c>
      <c r="S60" s="14" t="s">
        <v>94</v>
      </c>
    </row>
    <row r="61" spans="1:19" s="9" customFormat="1" ht="22.5">
      <c r="A61" s="14"/>
      <c r="B61" s="20" t="s">
        <v>98</v>
      </c>
      <c r="C61" s="16"/>
      <c r="D61" s="14"/>
      <c r="E61" s="17"/>
      <c r="F61" s="18"/>
      <c r="G61" s="80"/>
      <c r="H61" s="80"/>
      <c r="I61" s="80"/>
      <c r="J61" s="17"/>
      <c r="K61" s="17"/>
      <c r="L61" s="17"/>
      <c r="M61" s="21"/>
      <c r="N61" s="18"/>
      <c r="O61" s="18"/>
      <c r="P61" s="18"/>
      <c r="Q61" s="18"/>
      <c r="R61" s="18"/>
      <c r="S61" s="19"/>
    </row>
    <row r="62" spans="1:19" s="9" customFormat="1" ht="22.5">
      <c r="A62" s="33">
        <v>29</v>
      </c>
      <c r="B62" s="34" t="s">
        <v>97</v>
      </c>
      <c r="C62" s="35" t="s">
        <v>63</v>
      </c>
      <c r="D62" s="33">
        <v>1</v>
      </c>
      <c r="E62" s="36">
        <v>1</v>
      </c>
      <c r="F62" s="37" t="s">
        <v>1</v>
      </c>
      <c r="G62" s="82">
        <v>1</v>
      </c>
      <c r="H62" s="82">
        <v>1</v>
      </c>
      <c r="I62" s="82">
        <v>1</v>
      </c>
      <c r="J62" s="36" t="s">
        <v>1</v>
      </c>
      <c r="K62" s="36" t="s">
        <v>1</v>
      </c>
      <c r="L62" s="36" t="s">
        <v>1</v>
      </c>
      <c r="M62" s="85">
        <v>0</v>
      </c>
      <c r="N62" s="85">
        <v>0</v>
      </c>
      <c r="O62" s="85">
        <v>0</v>
      </c>
      <c r="P62" s="85" t="s">
        <v>1</v>
      </c>
      <c r="Q62" s="86" t="s">
        <v>1</v>
      </c>
      <c r="R62" s="86" t="s">
        <v>1</v>
      </c>
      <c r="S62" s="33" t="s">
        <v>94</v>
      </c>
    </row>
    <row r="63" spans="1:19" s="9" customFormat="1" ht="22.5">
      <c r="A63" s="92"/>
      <c r="B63" s="93" t="s">
        <v>99</v>
      </c>
      <c r="C63" s="94"/>
      <c r="D63" s="95"/>
      <c r="E63" s="95"/>
      <c r="F63" s="95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2"/>
    </row>
    <row r="64" spans="1:19" s="10" customFormat="1" ht="22.5">
      <c r="A64" s="14">
        <v>30</v>
      </c>
      <c r="B64" s="15" t="s">
        <v>79</v>
      </c>
      <c r="C64" s="16" t="s">
        <v>100</v>
      </c>
      <c r="D64" s="14">
        <v>1</v>
      </c>
      <c r="E64" s="17">
        <v>1</v>
      </c>
      <c r="F64" s="54">
        <v>0</v>
      </c>
      <c r="G64" s="80">
        <v>1</v>
      </c>
      <c r="H64" s="80">
        <v>1</v>
      </c>
      <c r="I64" s="80">
        <v>1</v>
      </c>
      <c r="J64" s="17" t="s">
        <v>1</v>
      </c>
      <c r="K64" s="17" t="s">
        <v>1</v>
      </c>
      <c r="L64" s="17" t="s">
        <v>1</v>
      </c>
      <c r="M64" s="18">
        <v>0</v>
      </c>
      <c r="N64" s="18">
        <v>0</v>
      </c>
      <c r="O64" s="18">
        <v>0</v>
      </c>
      <c r="P64" s="18">
        <f>F64+M64</f>
        <v>0</v>
      </c>
      <c r="Q64" s="18">
        <f>F64+N64</f>
        <v>0</v>
      </c>
      <c r="R64" s="18">
        <f>F64+O64</f>
        <v>0</v>
      </c>
      <c r="S64" s="14" t="s">
        <v>94</v>
      </c>
    </row>
    <row r="65" spans="1:19" s="10" customFormat="1" ht="22.5">
      <c r="A65" s="14"/>
      <c r="B65" s="20" t="s">
        <v>98</v>
      </c>
      <c r="C65" s="16"/>
      <c r="D65" s="14"/>
      <c r="E65" s="17"/>
      <c r="F65" s="18"/>
      <c r="G65" s="80"/>
      <c r="H65" s="80"/>
      <c r="I65" s="80"/>
      <c r="J65" s="17"/>
      <c r="K65" s="17"/>
      <c r="L65" s="17"/>
      <c r="M65" s="21"/>
      <c r="N65" s="18"/>
      <c r="O65" s="18"/>
      <c r="P65" s="18"/>
      <c r="Q65" s="18"/>
      <c r="R65" s="18"/>
      <c r="S65" s="19"/>
    </row>
    <row r="66" spans="1:19" s="10" customFormat="1" ht="22.5">
      <c r="A66" s="14">
        <v>31</v>
      </c>
      <c r="B66" s="15" t="s">
        <v>97</v>
      </c>
      <c r="C66" s="16" t="s">
        <v>63</v>
      </c>
      <c r="D66" s="14">
        <v>1</v>
      </c>
      <c r="E66" s="17">
        <v>1</v>
      </c>
      <c r="F66" s="18" t="s">
        <v>1</v>
      </c>
      <c r="G66" s="80">
        <v>1</v>
      </c>
      <c r="H66" s="80">
        <v>1</v>
      </c>
      <c r="I66" s="80">
        <v>1</v>
      </c>
      <c r="J66" s="17" t="s">
        <v>1</v>
      </c>
      <c r="K66" s="17" t="s">
        <v>1</v>
      </c>
      <c r="L66" s="17" t="s">
        <v>1</v>
      </c>
      <c r="M66" s="45">
        <v>0</v>
      </c>
      <c r="N66" s="45">
        <v>0</v>
      </c>
      <c r="O66" s="45">
        <v>0</v>
      </c>
      <c r="P66" s="45" t="s">
        <v>1</v>
      </c>
      <c r="Q66" s="44" t="s">
        <v>1</v>
      </c>
      <c r="R66" s="44" t="s">
        <v>1</v>
      </c>
      <c r="S66" s="14" t="s">
        <v>94</v>
      </c>
    </row>
    <row r="67" spans="1:19" s="11" customFormat="1" ht="22.5">
      <c r="A67" s="145" t="s">
        <v>26</v>
      </c>
      <c r="B67" s="146" t="s">
        <v>32</v>
      </c>
      <c r="C67" s="147" t="s">
        <v>10</v>
      </c>
      <c r="D67" s="148">
        <v>35</v>
      </c>
      <c r="E67" s="148">
        <v>31</v>
      </c>
      <c r="F67" s="148">
        <f>SUM(F7:F24)+SUM(F32:F51)+SUM(F60:F66)</f>
        <v>5250480</v>
      </c>
      <c r="G67" s="148">
        <f>SUM(G7:G24)+SUM(G32:G51)+SUM(G60:G66)</f>
        <v>35</v>
      </c>
      <c r="H67" s="148">
        <f>SUM(H7:H24)+SUM(H32:H51)+SUM(H60:H66)</f>
        <v>35</v>
      </c>
      <c r="I67" s="148">
        <f>SUM(I7:I24)+SUM(I32:I51)+SUM(I60:I66)</f>
        <v>35</v>
      </c>
      <c r="J67" s="149" t="s">
        <v>104</v>
      </c>
      <c r="K67" s="150" t="s">
        <v>1</v>
      </c>
      <c r="L67" s="150" t="s">
        <v>1</v>
      </c>
      <c r="M67" s="148">
        <f aca="true" t="shared" si="5" ref="M67:R67">SUM(M7:M24)+SUM(M32:M51)+SUM(M60:M66)</f>
        <v>1673460</v>
      </c>
      <c r="N67" s="148">
        <f t="shared" si="5"/>
        <v>952740</v>
      </c>
      <c r="O67" s="148">
        <f t="shared" si="5"/>
        <v>956436</v>
      </c>
      <c r="P67" s="148">
        <f t="shared" si="5"/>
        <v>6167940</v>
      </c>
      <c r="Q67" s="148">
        <f t="shared" si="5"/>
        <v>6358680</v>
      </c>
      <c r="R67" s="148">
        <f t="shared" si="5"/>
        <v>6553116</v>
      </c>
      <c r="S67" s="146"/>
    </row>
    <row r="68" spans="1:19" s="3" customFormat="1" ht="22.5">
      <c r="A68" s="28" t="s">
        <v>27</v>
      </c>
      <c r="B68" s="1" t="s">
        <v>33</v>
      </c>
      <c r="C68" s="176"/>
      <c r="D68" s="176"/>
      <c r="E68" s="177"/>
      <c r="F68" s="30"/>
      <c r="G68" s="30"/>
      <c r="H68" s="30"/>
      <c r="I68" s="30"/>
      <c r="J68" s="29"/>
      <c r="K68" s="29"/>
      <c r="L68" s="29"/>
      <c r="M68" s="29"/>
      <c r="N68" s="30"/>
      <c r="O68" s="29"/>
      <c r="P68" s="165">
        <f>P67*20/100</f>
        <v>1233588</v>
      </c>
      <c r="Q68" s="165">
        <f>Q67*20/100</f>
        <v>1271736</v>
      </c>
      <c r="R68" s="165">
        <f>R67*20/100</f>
        <v>1310623.2</v>
      </c>
      <c r="S68" s="31"/>
    </row>
    <row r="69" spans="1:19" s="3" customFormat="1" ht="22.5">
      <c r="A69" s="28" t="s">
        <v>28</v>
      </c>
      <c r="B69" s="1" t="s">
        <v>35</v>
      </c>
      <c r="C69" s="176"/>
      <c r="D69" s="176"/>
      <c r="E69" s="177"/>
      <c r="F69" s="30"/>
      <c r="G69" s="30"/>
      <c r="H69" s="30"/>
      <c r="I69" s="30"/>
      <c r="J69" s="29"/>
      <c r="K69" s="29"/>
      <c r="L69" s="29"/>
      <c r="M69" s="29"/>
      <c r="N69" s="30"/>
      <c r="O69" s="29"/>
      <c r="P69" s="165">
        <f>P67+P68</f>
        <v>7401528</v>
      </c>
      <c r="Q69" s="165">
        <f>Q67+Q68</f>
        <v>7630416</v>
      </c>
      <c r="R69" s="165">
        <f>R67+R68</f>
        <v>7863739.2</v>
      </c>
      <c r="S69" s="31"/>
    </row>
    <row r="70" spans="1:19" s="3" customFormat="1" ht="22.5">
      <c r="A70" s="28" t="s">
        <v>34</v>
      </c>
      <c r="B70" s="1" t="s">
        <v>55</v>
      </c>
      <c r="C70" s="176"/>
      <c r="D70" s="176"/>
      <c r="E70" s="177"/>
      <c r="F70" s="30"/>
      <c r="G70" s="30"/>
      <c r="H70" s="30"/>
      <c r="I70" s="30"/>
      <c r="J70" s="29"/>
      <c r="K70" s="29"/>
      <c r="L70" s="29"/>
      <c r="M70" s="29"/>
      <c r="N70" s="30"/>
      <c r="O70" s="29"/>
      <c r="P70" s="165">
        <v>19500000</v>
      </c>
      <c r="Q70" s="165">
        <f>P70+(P70*5/100)</f>
        <v>20475000</v>
      </c>
      <c r="R70" s="165">
        <f>Q70+(Q70*5/100)</f>
        <v>21498750</v>
      </c>
      <c r="S70" s="31"/>
    </row>
    <row r="71" spans="1:19" s="3" customFormat="1" ht="22.5">
      <c r="A71" s="28" t="s">
        <v>56</v>
      </c>
      <c r="B71" s="1" t="s">
        <v>36</v>
      </c>
      <c r="C71" s="176"/>
      <c r="D71" s="176"/>
      <c r="E71" s="177"/>
      <c r="F71" s="30"/>
      <c r="G71" s="30"/>
      <c r="H71" s="30"/>
      <c r="I71" s="30"/>
      <c r="J71" s="29"/>
      <c r="K71" s="29"/>
      <c r="L71" s="29"/>
      <c r="M71" s="29"/>
      <c r="N71" s="30"/>
      <c r="O71" s="29"/>
      <c r="P71" s="166">
        <f>P69/P70*100</f>
        <v>37.956553846153845</v>
      </c>
      <c r="Q71" s="166">
        <f>Q69/Q70*100</f>
        <v>37.26698901098901</v>
      </c>
      <c r="R71" s="166">
        <f>R69/R70*100</f>
        <v>36.577657770800634</v>
      </c>
      <c r="S71" s="31"/>
    </row>
    <row r="72" spans="1:19" s="3" customFormat="1" ht="22.5">
      <c r="A72" s="180" t="s">
        <v>0</v>
      </c>
      <c r="B72" s="180"/>
      <c r="C72" s="6"/>
      <c r="D72" s="4"/>
      <c r="E72" s="7"/>
      <c r="F72" s="8"/>
      <c r="G72" s="8"/>
      <c r="H72" s="8"/>
      <c r="I72" s="8"/>
      <c r="J72" s="7"/>
      <c r="K72" s="7"/>
      <c r="L72" s="7"/>
      <c r="M72" s="7"/>
      <c r="N72" s="8"/>
      <c r="O72" s="7"/>
      <c r="P72" s="8"/>
      <c r="Q72" s="8"/>
      <c r="R72" s="8"/>
      <c r="S72" s="5"/>
    </row>
    <row r="73" spans="1:19" s="50" customFormat="1" ht="22.5">
      <c r="A73" s="58" t="s">
        <v>49</v>
      </c>
      <c r="B73" s="59"/>
      <c r="C73" s="59"/>
      <c r="D73" s="59"/>
      <c r="E73" s="179">
        <v>19500000</v>
      </c>
      <c r="F73" s="179"/>
      <c r="G73" s="46" t="s">
        <v>37</v>
      </c>
      <c r="H73" s="47" t="s">
        <v>87</v>
      </c>
      <c r="K73" s="48"/>
      <c r="L73" s="46"/>
      <c r="M73" s="46"/>
      <c r="N73" s="32"/>
      <c r="O73" s="46"/>
      <c r="P73" s="32"/>
      <c r="Q73" s="32"/>
      <c r="R73" s="32"/>
      <c r="S73" s="49"/>
    </row>
    <row r="74" spans="1:19" s="50" customFormat="1" ht="22.5">
      <c r="A74" s="51"/>
      <c r="B74" s="49"/>
      <c r="C74" s="52"/>
      <c r="D74" s="51"/>
      <c r="E74" s="46"/>
      <c r="F74" s="32"/>
      <c r="G74" s="32"/>
      <c r="H74" s="47" t="s">
        <v>88</v>
      </c>
      <c r="K74" s="48"/>
      <c r="L74" s="46"/>
      <c r="M74" s="46"/>
      <c r="N74" s="32"/>
      <c r="O74" s="46"/>
      <c r="P74" s="32"/>
      <c r="Q74" s="32"/>
      <c r="R74" s="32"/>
      <c r="S74" s="49"/>
    </row>
    <row r="75" spans="1:19" s="50" customFormat="1" ht="22.5">
      <c r="A75" s="181" t="s">
        <v>50</v>
      </c>
      <c r="B75" s="181"/>
      <c r="C75" s="181"/>
      <c r="D75" s="181"/>
      <c r="E75" s="179">
        <v>20475000</v>
      </c>
      <c r="F75" s="179"/>
      <c r="G75" s="46" t="s">
        <v>37</v>
      </c>
      <c r="H75" s="47" t="s">
        <v>89</v>
      </c>
      <c r="K75" s="48"/>
      <c r="L75" s="46"/>
      <c r="M75" s="46"/>
      <c r="N75" s="32"/>
      <c r="O75" s="46"/>
      <c r="P75" s="32"/>
      <c r="Q75" s="32"/>
      <c r="R75" s="32"/>
      <c r="S75" s="49"/>
    </row>
    <row r="76" spans="1:19" s="50" customFormat="1" ht="22.5">
      <c r="A76" s="53" t="s">
        <v>51</v>
      </c>
      <c r="C76" s="48"/>
      <c r="D76" s="51"/>
      <c r="E76" s="179">
        <v>21498750</v>
      </c>
      <c r="F76" s="179"/>
      <c r="G76" s="46" t="s">
        <v>37</v>
      </c>
      <c r="H76" s="47" t="s">
        <v>90</v>
      </c>
      <c r="K76" s="48"/>
      <c r="L76" s="46"/>
      <c r="M76" s="46"/>
      <c r="N76" s="32"/>
      <c r="O76" s="46"/>
      <c r="P76" s="32"/>
      <c r="Q76" s="32"/>
      <c r="R76" s="32"/>
      <c r="S76" s="49"/>
    </row>
    <row r="79" ht="12.75">
      <c r="N79" s="57"/>
    </row>
  </sheetData>
  <sheetProtection/>
  <mergeCells count="45">
    <mergeCell ref="A3:A6"/>
    <mergeCell ref="B3:B6"/>
    <mergeCell ref="E3:F5"/>
    <mergeCell ref="G3:I3"/>
    <mergeCell ref="J3:L3"/>
    <mergeCell ref="M3:O5"/>
    <mergeCell ref="P3:R5"/>
    <mergeCell ref="S3:S6"/>
    <mergeCell ref="G4:I4"/>
    <mergeCell ref="J4:L4"/>
    <mergeCell ref="G5:I5"/>
    <mergeCell ref="A28:A31"/>
    <mergeCell ref="B28:B31"/>
    <mergeCell ref="E28:F30"/>
    <mergeCell ref="G28:I28"/>
    <mergeCell ref="J28:L28"/>
    <mergeCell ref="G55:I55"/>
    <mergeCell ref="J55:L55"/>
    <mergeCell ref="M55:O57"/>
    <mergeCell ref="M28:O30"/>
    <mergeCell ref="P28:R30"/>
    <mergeCell ref="S28:S31"/>
    <mergeCell ref="G29:I29"/>
    <mergeCell ref="J29:L29"/>
    <mergeCell ref="G30:I30"/>
    <mergeCell ref="A75:D75"/>
    <mergeCell ref="P55:R57"/>
    <mergeCell ref="S55:S58"/>
    <mergeCell ref="G56:I56"/>
    <mergeCell ref="J56:L56"/>
    <mergeCell ref="G57:I57"/>
    <mergeCell ref="B68:E68"/>
    <mergeCell ref="A55:A58"/>
    <mergeCell ref="B55:B58"/>
    <mergeCell ref="E55:F57"/>
    <mergeCell ref="B70:E70"/>
    <mergeCell ref="A1:S1"/>
    <mergeCell ref="A27:S27"/>
    <mergeCell ref="A54:S54"/>
    <mergeCell ref="E75:F75"/>
    <mergeCell ref="E76:F76"/>
    <mergeCell ref="B69:E69"/>
    <mergeCell ref="B71:E71"/>
    <mergeCell ref="A72:B72"/>
    <mergeCell ref="E73:F73"/>
  </mergeCells>
  <printOptions/>
  <pageMargins left="0.31496062992125984" right="0" top="0.5905511811023623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Mr.KKD</cp:lastModifiedBy>
  <cp:lastPrinted>2014-08-26T11:09:02Z</cp:lastPrinted>
  <dcterms:created xsi:type="dcterms:W3CDTF">2006-09-14T06:17:46Z</dcterms:created>
  <dcterms:modified xsi:type="dcterms:W3CDTF">2017-05-29T02:22:11Z</dcterms:modified>
  <cp:category/>
  <cp:version/>
  <cp:contentType/>
  <cp:contentStatus/>
</cp:coreProperties>
</file>